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55" windowHeight="5640" tabRatio="797" activeTab="0"/>
  </bookViews>
  <sheets>
    <sheet name="mpios" sheetId="1" r:id="rId1"/>
    <sheet name="Cas anuladas TEEM" sheetId="2" state="hidden" r:id="rId2"/>
    <sheet name="Cas anuladas TEPJF" sheetId="3" state="hidden" r:id="rId3"/>
    <sheet name="mpal vot val emitida" sheetId="4" state="hidden" r:id="rId4"/>
  </sheets>
  <definedNames>
    <definedName name="_xlnm.Print_Area" localSheetId="3">'mpal vot val emitida'!$A$1:$Z$163</definedName>
    <definedName name="_xlnm.Print_Area" localSheetId="0">'mpios'!$A$1:$Z$163</definedName>
    <definedName name="_xlnm.Print_Titles" localSheetId="1">'Cas anuladas TEEM'!$1:$5</definedName>
    <definedName name="_xlnm.Print_Titles" localSheetId="2">'Cas anuladas TEPJF'!$1:$6</definedName>
    <definedName name="_xlnm.Print_Titles" localSheetId="3">'mpal vot val emitida'!$1:$6</definedName>
    <definedName name="_xlnm.Print_Titles" localSheetId="0">'mpios'!$1:$6</definedName>
  </definedNames>
  <calcPr fullCalcOnLoad="1"/>
</workbook>
</file>

<file path=xl/sharedStrings.xml><?xml version="1.0" encoding="utf-8"?>
<sst xmlns="http://schemas.openxmlformats.org/spreadsheetml/2006/main" count="738" uniqueCount="233">
  <si>
    <t xml:space="preserve">     </t>
  </si>
  <si>
    <t>INSTITUTO ELECTORAL DEL ESTADO DE MÉXICO</t>
  </si>
  <si>
    <t>PROCESOS ELECTORALES 2002 - 2003</t>
  </si>
  <si>
    <t>PAN</t>
  </si>
  <si>
    <t>APT (PRI - PVEM)</t>
  </si>
  <si>
    <t>PRD</t>
  </si>
  <si>
    <t>PT</t>
  </si>
  <si>
    <t>C</t>
  </si>
  <si>
    <t>PSN</t>
  </si>
  <si>
    <t>PAS</t>
  </si>
  <si>
    <t>PACEM</t>
  </si>
  <si>
    <t>NO REG.</t>
  </si>
  <si>
    <t>VOTOS NULOS</t>
  </si>
  <si>
    <t>TOTAL</t>
  </si>
  <si>
    <t>GANADORES</t>
  </si>
  <si>
    <t>VOTOS</t>
  </si>
  <si>
    <t>%</t>
  </si>
  <si>
    <t>VOTACION</t>
  </si>
  <si>
    <t>PORCENTAJE</t>
  </si>
  <si>
    <t>TOLUCA</t>
  </si>
  <si>
    <t>TEMOAYA</t>
  </si>
  <si>
    <t>LERMA</t>
  </si>
  <si>
    <t>TENANGO DEL VALLE</t>
  </si>
  <si>
    <t>TIANGUISTENCO</t>
  </si>
  <si>
    <t>TENANCINGO</t>
  </si>
  <si>
    <t>TEJUPILCO</t>
  </si>
  <si>
    <t>VALLE DE BRAVO</t>
  </si>
  <si>
    <t>ATLACOMULCO</t>
  </si>
  <si>
    <t>ATIZAPAN DE ZARAGOZA</t>
  </si>
  <si>
    <t>TLALNEPANTLA</t>
  </si>
  <si>
    <t>ZUMPANGO</t>
  </si>
  <si>
    <t>ECATEPEC</t>
  </si>
  <si>
    <t>AMECAMECA</t>
  </si>
  <si>
    <t>OTUMBA</t>
  </si>
  <si>
    <t>MUNICIPIO</t>
  </si>
  <si>
    <t>ACAMBAY</t>
  </si>
  <si>
    <t>ACOLMAN</t>
  </si>
  <si>
    <t>ACULCO</t>
  </si>
  <si>
    <t>ALMOLOYA DE ALQUISIRAS</t>
  </si>
  <si>
    <t>ALMOLOYA DE JUÁREZ</t>
  </si>
  <si>
    <t>ALMOLOYA DEL RÍO</t>
  </si>
  <si>
    <t>AMANALCO</t>
  </si>
  <si>
    <t>APAXCO</t>
  </si>
  <si>
    <t>ATIZAPÁN</t>
  </si>
  <si>
    <t>AXAPUSCO</t>
  </si>
  <si>
    <t>AYAPANGO</t>
  </si>
  <si>
    <t>COATEPEC HARINAS</t>
  </si>
  <si>
    <t>COCOTITLÁN</t>
  </si>
  <si>
    <t>COYOTEPEC</t>
  </si>
  <si>
    <t>CHAPA DE MOTA</t>
  </si>
  <si>
    <t>CHAPULTEPEC</t>
  </si>
  <si>
    <t>CHIAUTLA</t>
  </si>
  <si>
    <t>CHICOLOAPAN</t>
  </si>
  <si>
    <t>CHICONCUAC</t>
  </si>
  <si>
    <t>CHIMALHUACÁN</t>
  </si>
  <si>
    <t>DONATO GUERRA</t>
  </si>
  <si>
    <t>ECATZINGO</t>
  </si>
  <si>
    <t>HUEHUETOCA</t>
  </si>
  <si>
    <t>HUEYPOXTLA</t>
  </si>
  <si>
    <t>ISIDRO FABELA</t>
  </si>
  <si>
    <t>IXTAPAN DEL ORO</t>
  </si>
  <si>
    <t>JALTENCO</t>
  </si>
  <si>
    <t>JILOTZINGO</t>
  </si>
  <si>
    <t>JIQUIPILCO</t>
  </si>
  <si>
    <t>JOCOTITLÁN</t>
  </si>
  <si>
    <t>JOQUICINGO</t>
  </si>
  <si>
    <t>MALINALCO</t>
  </si>
  <si>
    <t>MELCHOR OCAMPO</t>
  </si>
  <si>
    <t>MEXICALTZINGO</t>
  </si>
  <si>
    <t>MORELOS</t>
  </si>
  <si>
    <t>NEXTLALPAN</t>
  </si>
  <si>
    <t>NEZAHUALCÓYOTL</t>
  </si>
  <si>
    <t>NICOLÁS ROMERO</t>
  </si>
  <si>
    <t>NOPALTEPEC</t>
  </si>
  <si>
    <t>OCUILAN</t>
  </si>
  <si>
    <t>OTZOLOAPAN</t>
  </si>
  <si>
    <t>OTZOLOTEPEC</t>
  </si>
  <si>
    <t>OZUMBA</t>
  </si>
  <si>
    <t>PAPALOTLA</t>
  </si>
  <si>
    <t>POLOTITLÁN</t>
  </si>
  <si>
    <t>RAYÓN</t>
  </si>
  <si>
    <t>SAN FELIPE DEL PROGRESO</t>
  </si>
  <si>
    <t>SAN MATEO ATENCO</t>
  </si>
  <si>
    <t>SAN SIMÓN DE GUERRERO</t>
  </si>
  <si>
    <t>SANTO TOMÁS</t>
  </si>
  <si>
    <t>SOYANIQUILPAN DE JUAREZ</t>
  </si>
  <si>
    <t>TEMAMATLA</t>
  </si>
  <si>
    <t>TEMASCALAPA</t>
  </si>
  <si>
    <t>TEMASCALCINGO</t>
  </si>
  <si>
    <t>TEMASCALTEPEC</t>
  </si>
  <si>
    <t>TENANGO DEL AIRE</t>
  </si>
  <si>
    <t>TEOLOYUCAN</t>
  </si>
  <si>
    <t xml:space="preserve">TEOTIHUACÁN </t>
  </si>
  <si>
    <t>TEPETLAOXTOC</t>
  </si>
  <si>
    <t>TEPETLIXPA</t>
  </si>
  <si>
    <t>TEQUIXQUIAC</t>
  </si>
  <si>
    <t>TEXCALTITLÁN</t>
  </si>
  <si>
    <t>TEXCALYACAC</t>
  </si>
  <si>
    <t>TEZOYUCA</t>
  </si>
  <si>
    <t>TIMILPAN</t>
  </si>
  <si>
    <t>TLALMANALCO</t>
  </si>
  <si>
    <t>TLATLAYA</t>
  </si>
  <si>
    <t>TONATICO</t>
  </si>
  <si>
    <t>TULTEPEC</t>
  </si>
  <si>
    <t>VILLA DEL CARBÓN</t>
  </si>
  <si>
    <t>VILLA GUERRERO</t>
  </si>
  <si>
    <t>VILLA VICTORIA</t>
  </si>
  <si>
    <t>XONACATLÁN</t>
  </si>
  <si>
    <t>ZACAZONAPAN</t>
  </si>
  <si>
    <t>ZUMPAHUACÁN</t>
  </si>
  <si>
    <t>VALLE DE CHALCO SOLIDARIDAD</t>
  </si>
  <si>
    <t>SAN JOSE DEL RINCÓN</t>
  </si>
  <si>
    <t>XALATLACO</t>
  </si>
  <si>
    <t>SECCION</t>
  </si>
  <si>
    <t>CASILLA</t>
  </si>
  <si>
    <t>APT          (PRI - PVEM)</t>
  </si>
  <si>
    <t>TOTAL DE VOTOS</t>
  </si>
  <si>
    <t>(porcentaje)</t>
  </si>
  <si>
    <t>CÓMPUTO DE LOS CONSEJOS MUNICIPALES</t>
  </si>
  <si>
    <t>NOTAS:</t>
  </si>
  <si>
    <t>C1</t>
  </si>
  <si>
    <t xml:space="preserve">Votos anulados </t>
  </si>
  <si>
    <t>por el TEEM</t>
  </si>
  <si>
    <r>
      <t xml:space="preserve">EL ORO </t>
    </r>
    <r>
      <rPr>
        <vertAlign val="superscript"/>
        <sz val="10"/>
        <rFont val="Arial Narrow"/>
        <family val="2"/>
      </rPr>
      <t>1</t>
    </r>
  </si>
  <si>
    <t>1 - Resolución al juicio JI/07/2003</t>
  </si>
  <si>
    <r>
      <t xml:space="preserve">CALIMAYA </t>
    </r>
    <r>
      <rPr>
        <vertAlign val="superscript"/>
        <sz val="10"/>
        <rFont val="Arial Narrow"/>
        <family val="2"/>
      </rPr>
      <t>2</t>
    </r>
  </si>
  <si>
    <t>3 - Resolución a los juicios JI/22/2003, JI/23/2003 y JI/51/2003 acumulados</t>
  </si>
  <si>
    <t>2 - Resolución a los juicios JI/11/2003 y JI/12/2003 acumulados</t>
  </si>
  <si>
    <r>
      <t xml:space="preserve">JUCHITEPEC </t>
    </r>
    <r>
      <rPr>
        <vertAlign val="superscript"/>
        <sz val="9"/>
        <rFont val="Arial Narrow"/>
        <family val="2"/>
      </rPr>
      <t>3</t>
    </r>
  </si>
  <si>
    <t>SAN MARTÍN DE LAS PIRÁMIDES</t>
  </si>
  <si>
    <r>
      <t xml:space="preserve">JILOTEPEC </t>
    </r>
    <r>
      <rPr>
        <vertAlign val="superscript"/>
        <sz val="10"/>
        <rFont val="Arial Narrow"/>
        <family val="2"/>
      </rPr>
      <t>4</t>
    </r>
  </si>
  <si>
    <t>4 - Resolución al juicio JI/24/2003</t>
  </si>
  <si>
    <t>B</t>
  </si>
  <si>
    <t>C3</t>
  </si>
  <si>
    <t>C2</t>
  </si>
  <si>
    <t>Subtotal</t>
  </si>
  <si>
    <r>
      <t xml:space="preserve">LA PAZ </t>
    </r>
    <r>
      <rPr>
        <vertAlign val="superscript"/>
        <sz val="10"/>
        <rFont val="Arial Narrow"/>
        <family val="2"/>
      </rPr>
      <t>10</t>
    </r>
  </si>
  <si>
    <t>5 - Resolución a los juicios JI/36/2003 y JI/37/2003 acumulados</t>
  </si>
  <si>
    <r>
      <t xml:space="preserve">AMATEPEC </t>
    </r>
    <r>
      <rPr>
        <vertAlign val="superscript"/>
        <sz val="10"/>
        <rFont val="Arial Narrow"/>
        <family val="2"/>
      </rPr>
      <t>5</t>
    </r>
  </si>
  <si>
    <r>
      <t xml:space="preserve">OCOYOACAC </t>
    </r>
    <r>
      <rPr>
        <vertAlign val="superscript"/>
        <sz val="10"/>
        <rFont val="Arial Narrow"/>
        <family val="2"/>
      </rPr>
      <t>6</t>
    </r>
  </si>
  <si>
    <r>
      <t xml:space="preserve">VILLA DE ALLENDE </t>
    </r>
    <r>
      <rPr>
        <vertAlign val="superscript"/>
        <sz val="9"/>
        <rFont val="Arial Narrow"/>
        <family val="2"/>
      </rPr>
      <t>7</t>
    </r>
  </si>
  <si>
    <r>
      <t xml:space="preserve">SULTEPEC </t>
    </r>
    <r>
      <rPr>
        <vertAlign val="superscript"/>
        <sz val="9"/>
        <rFont val="Arial Narrow"/>
        <family val="2"/>
      </rPr>
      <t>8</t>
    </r>
  </si>
  <si>
    <r>
      <t xml:space="preserve">IXTAPAN DE LA SAL </t>
    </r>
    <r>
      <rPr>
        <vertAlign val="superscript"/>
        <sz val="10"/>
        <rFont val="Arial Narrow"/>
        <family val="2"/>
      </rPr>
      <t>9</t>
    </r>
  </si>
  <si>
    <r>
      <t xml:space="preserve">ZINACANTEPEC </t>
    </r>
    <r>
      <rPr>
        <vertAlign val="superscript"/>
        <sz val="10"/>
        <rFont val="Arial Narrow"/>
        <family val="2"/>
      </rPr>
      <t>11</t>
    </r>
  </si>
  <si>
    <t>7 - Resolución al juicio JI/52/2003</t>
  </si>
  <si>
    <t>8 - Resolución al juicio JI/53/2003</t>
  </si>
  <si>
    <t>6 - Resolución a los juicios JI/41/2003 y JI/42/2003 acumulados</t>
  </si>
  <si>
    <t>B mpal</t>
  </si>
  <si>
    <t>B dttal</t>
  </si>
  <si>
    <t>quitar la dttal y agregar la mpal</t>
  </si>
  <si>
    <t>9 - Resolución a los juicios JI/64/2003 y JI/65/2003 acumulados</t>
  </si>
  <si>
    <t>11 - Resolución a los juicios JI/71/2003, JI/72/2003 y JI/73/2003 acumulados</t>
  </si>
  <si>
    <t>12 - Resolución a los juicios JI/89/2003 y JI/90/2003 acumulados</t>
  </si>
  <si>
    <t>13 - Resolución al juicio JI/92/2003</t>
  </si>
  <si>
    <t>16 - Resolución al juicio JI/121/2003</t>
  </si>
  <si>
    <t>17 - Resolución a los juicios JI/122/2003, JI/123/2003, JI/124/2003, JI/125/2003, JI/126/2003 y JI/129/2003 acumulados</t>
  </si>
  <si>
    <t>19 - Resolución a los juicios JI/154/2003, JI/155/2003 y JI/156/2003 acumulados</t>
  </si>
  <si>
    <r>
      <t xml:space="preserve">TEXCOCO </t>
    </r>
    <r>
      <rPr>
        <vertAlign val="superscript"/>
        <sz val="10"/>
        <rFont val="Arial Narrow"/>
        <family val="2"/>
      </rPr>
      <t>12</t>
    </r>
  </si>
  <si>
    <r>
      <t xml:space="preserve">CUAUTITLÁN </t>
    </r>
    <r>
      <rPr>
        <vertAlign val="superscript"/>
        <sz val="10"/>
        <rFont val="Arial Narrow"/>
        <family val="2"/>
      </rPr>
      <t>13</t>
    </r>
  </si>
  <si>
    <r>
      <t xml:space="preserve">TEPOTZOTLÁN </t>
    </r>
    <r>
      <rPr>
        <vertAlign val="superscript"/>
        <sz val="10"/>
        <rFont val="Arial Narrow"/>
        <family val="2"/>
      </rPr>
      <t>14</t>
    </r>
  </si>
  <si>
    <t>C4</t>
  </si>
  <si>
    <t>14 - Resolución a los juicios JI/96/2003 y JI/119/2003 acumulados, en la cual se determinó la NULIDAD DE LA ELECCIÓN.</t>
  </si>
  <si>
    <r>
      <t xml:space="preserve">CHALCO </t>
    </r>
    <r>
      <rPr>
        <vertAlign val="superscript"/>
        <sz val="10"/>
        <rFont val="Arial Narrow"/>
        <family val="2"/>
      </rPr>
      <t>15</t>
    </r>
  </si>
  <si>
    <t>C5</t>
  </si>
  <si>
    <r>
      <t xml:space="preserve">TULTITLÁN </t>
    </r>
    <r>
      <rPr>
        <vertAlign val="superscript"/>
        <sz val="10"/>
        <rFont val="Arial Narrow"/>
        <family val="2"/>
      </rPr>
      <t>16</t>
    </r>
  </si>
  <si>
    <r>
      <t xml:space="preserve">METEPEC </t>
    </r>
    <r>
      <rPr>
        <vertAlign val="superscript"/>
        <sz val="10"/>
        <rFont val="Arial Narrow"/>
        <family val="2"/>
      </rPr>
      <t>17</t>
    </r>
  </si>
  <si>
    <r>
      <t xml:space="preserve">ZACUALPAN </t>
    </r>
    <r>
      <rPr>
        <vertAlign val="superscript"/>
        <sz val="9"/>
        <rFont val="Arial Narrow"/>
        <family val="2"/>
      </rPr>
      <t>18</t>
    </r>
  </si>
  <si>
    <r>
      <t xml:space="preserve">ATLAUTLA </t>
    </r>
    <r>
      <rPr>
        <vertAlign val="superscript"/>
        <sz val="9"/>
        <rFont val="Arial Narrow"/>
        <family val="2"/>
      </rPr>
      <t>19</t>
    </r>
  </si>
  <si>
    <t>EX1</t>
  </si>
  <si>
    <r>
      <t xml:space="preserve">SAN ANTONIO LA ISLA </t>
    </r>
    <r>
      <rPr>
        <vertAlign val="superscript"/>
        <sz val="10"/>
        <rFont val="Arial Narrow"/>
        <family val="2"/>
      </rPr>
      <t>20</t>
    </r>
  </si>
  <si>
    <r>
      <t xml:space="preserve">LUVIANOS </t>
    </r>
    <r>
      <rPr>
        <vertAlign val="superscript"/>
        <sz val="10"/>
        <rFont val="Arial Narrow"/>
        <family val="2"/>
      </rPr>
      <t>21</t>
    </r>
  </si>
  <si>
    <r>
      <t xml:space="preserve">COACALCO </t>
    </r>
    <r>
      <rPr>
        <vertAlign val="superscript"/>
        <sz val="10"/>
        <rFont val="Arial Narrow"/>
        <family val="2"/>
      </rPr>
      <t>22</t>
    </r>
  </si>
  <si>
    <t>23 - Resolución al juicio JI/112/2003</t>
  </si>
  <si>
    <r>
      <t xml:space="preserve">IXTLAHUACA </t>
    </r>
    <r>
      <rPr>
        <vertAlign val="superscript"/>
        <sz val="9"/>
        <rFont val="Arial Narrow"/>
        <family val="2"/>
      </rPr>
      <t>23</t>
    </r>
  </si>
  <si>
    <r>
      <t xml:space="preserve">HUIXQUILUCAN </t>
    </r>
    <r>
      <rPr>
        <vertAlign val="superscript"/>
        <sz val="10"/>
        <rFont val="Arial Narrow"/>
        <family val="2"/>
      </rPr>
      <t>24</t>
    </r>
  </si>
  <si>
    <t>24 - Resolución a los juicios JI/131/2003 y JI/132/2003 acumulados</t>
  </si>
  <si>
    <t>25 - Resolución a los juicios JI/133/2003 y JI/134/2003 acumulados</t>
  </si>
  <si>
    <r>
      <t xml:space="preserve">IXTAPALUCA </t>
    </r>
    <r>
      <rPr>
        <vertAlign val="superscript"/>
        <sz val="10"/>
        <rFont val="Arial Narrow"/>
        <family val="2"/>
      </rPr>
      <t>25</t>
    </r>
  </si>
  <si>
    <t>26 - Resolución a los juicios JI/146/2003, JI/151/2003 y JI/152/2003 acumulados</t>
  </si>
  <si>
    <r>
      <t xml:space="preserve">NAUCALPAN </t>
    </r>
    <r>
      <rPr>
        <vertAlign val="superscript"/>
        <sz val="10"/>
        <rFont val="Arial Narrow"/>
        <family val="2"/>
      </rPr>
      <t>26</t>
    </r>
  </si>
  <si>
    <r>
      <t xml:space="preserve">ATENCO </t>
    </r>
    <r>
      <rPr>
        <vertAlign val="superscript"/>
        <sz val="9"/>
        <rFont val="Arial Narrow"/>
        <family val="2"/>
      </rPr>
      <t>27</t>
    </r>
  </si>
  <si>
    <t>EX2</t>
  </si>
  <si>
    <t>C7</t>
  </si>
  <si>
    <t>EX22</t>
  </si>
  <si>
    <t>27 - Resolución a los juicios JI/157/2003 y JI/158/2003 acumulados, en la cual se determinó la NULIDAD DE LA ELECCIÓN.</t>
  </si>
  <si>
    <r>
      <t xml:space="preserve">ATENCO </t>
    </r>
    <r>
      <rPr>
        <vertAlign val="superscript"/>
        <sz val="10"/>
        <rFont val="Arial Narrow"/>
        <family val="2"/>
      </rPr>
      <t>27</t>
    </r>
  </si>
  <si>
    <r>
      <t xml:space="preserve">ATLAUTLA </t>
    </r>
    <r>
      <rPr>
        <vertAlign val="superscript"/>
        <sz val="10"/>
        <rFont val="Arial Narrow"/>
        <family val="2"/>
      </rPr>
      <t>19</t>
    </r>
  </si>
  <si>
    <r>
      <t xml:space="preserve">IXTLAHUACA </t>
    </r>
    <r>
      <rPr>
        <vertAlign val="superscript"/>
        <sz val="10"/>
        <rFont val="Arial Narrow"/>
        <family val="2"/>
      </rPr>
      <t>23</t>
    </r>
  </si>
  <si>
    <r>
      <t xml:space="preserve">JUCHITEPEC </t>
    </r>
    <r>
      <rPr>
        <vertAlign val="superscript"/>
        <sz val="10"/>
        <rFont val="Arial Narrow"/>
        <family val="2"/>
      </rPr>
      <t>3</t>
    </r>
  </si>
  <si>
    <r>
      <t xml:space="preserve">SULTEPEC </t>
    </r>
    <r>
      <rPr>
        <vertAlign val="superscript"/>
        <sz val="10"/>
        <rFont val="Arial Narrow"/>
        <family val="2"/>
      </rPr>
      <t>8</t>
    </r>
  </si>
  <si>
    <r>
      <t xml:space="preserve">VILLA DE ALLENDE </t>
    </r>
    <r>
      <rPr>
        <vertAlign val="superscript"/>
        <sz val="10"/>
        <rFont val="Arial Narrow"/>
        <family val="2"/>
      </rPr>
      <t>7</t>
    </r>
  </si>
  <si>
    <r>
      <t xml:space="preserve">ZACUALPAN </t>
    </r>
    <r>
      <rPr>
        <vertAlign val="superscript"/>
        <sz val="10"/>
        <rFont val="Arial Narrow"/>
        <family val="2"/>
      </rPr>
      <t>18</t>
    </r>
  </si>
  <si>
    <r>
      <t xml:space="preserve">CUAUTITLAN IZCALLI </t>
    </r>
    <r>
      <rPr>
        <vertAlign val="superscript"/>
        <sz val="10"/>
        <rFont val="Arial Narrow"/>
        <family val="2"/>
      </rPr>
      <t>28</t>
    </r>
  </si>
  <si>
    <t>28 - Resolución a los juicios JI/116/2003 y JI/130/2003 acumulados</t>
  </si>
  <si>
    <t>Se colocaron los votos de la 695 C1</t>
  </si>
  <si>
    <t>Se colocaron los votos de la 771 C1</t>
  </si>
  <si>
    <t>Se colocaron los votos de la 2209 B</t>
  </si>
  <si>
    <t>Se colocaron los votos de la 5836 C1</t>
  </si>
  <si>
    <t>revoca la anulación del TEEM</t>
  </si>
  <si>
    <t>por el TEPJF</t>
  </si>
  <si>
    <t>10 - Resolución del TEEM al juicio JI/85/2003, y del TEPJF al juicio SUP-JRC-090/2003.</t>
  </si>
  <si>
    <t>18 - Resolución del TEEM a los juicios JI/135/2003, JI/136/2003 y JI/137/2003 acumulados, y del TEPJF a los juicios SUP-JRC-087/2003, SUP-JRC-088/2003 y SUP-JRC-089/2003 acumulados.</t>
  </si>
  <si>
    <r>
      <t>LA PAZ</t>
    </r>
    <r>
      <rPr>
        <vertAlign val="superscript"/>
        <sz val="10"/>
        <rFont val="Arial Narrow"/>
        <family val="2"/>
      </rPr>
      <t xml:space="preserve"> 10</t>
    </r>
  </si>
  <si>
    <t>RESULTADOS DEL CÓMPUTO DE LA ELECCIÓN DE AYUNTAMIENTOS (incluye resoluciones del TEEM y del TEPJF)</t>
  </si>
  <si>
    <t xml:space="preserve">Votos revocados </t>
  </si>
  <si>
    <r>
      <t>CAPULHUAC</t>
    </r>
    <r>
      <rPr>
        <vertAlign val="superscript"/>
        <sz val="10"/>
        <rFont val="Arial Narrow"/>
        <family val="2"/>
      </rPr>
      <t xml:space="preserve"> 29</t>
    </r>
  </si>
  <si>
    <t>29 - Resolución del TEPJF al juicio SUP-JRC-101/2003.</t>
  </si>
  <si>
    <t>21 - Resolución al juicio JI/104/2003, y del TEPJF a los juicios SUP-JRC-095/2003 y SUP-JRC-097/2003 acumulados.</t>
  </si>
  <si>
    <t>* - Aún y cuando se muestran con un signo positivo los subtotales deben restarse del total municipal.</t>
  </si>
  <si>
    <r>
      <t>RESULTADOS DE LAS CASILLAS ANULADAS</t>
    </r>
    <r>
      <rPr>
        <b/>
        <vertAlign val="superscript"/>
        <sz val="11"/>
        <rFont val="Arial"/>
        <family val="2"/>
      </rPr>
      <t>*</t>
    </r>
    <r>
      <rPr>
        <b/>
        <sz val="11"/>
        <rFont val="Arial"/>
        <family val="2"/>
      </rPr>
      <t xml:space="preserve"> POR EL TRIBUNAL ELECTORAL DEL ESTADO DE MEXICO</t>
    </r>
  </si>
  <si>
    <t xml:space="preserve">                                 modificación al cómputo municipal</t>
  </si>
  <si>
    <r>
      <t xml:space="preserve">COACALCO </t>
    </r>
    <r>
      <rPr>
        <vertAlign val="superscript"/>
        <sz val="10"/>
        <rFont val="Arial Narrow"/>
        <family val="2"/>
      </rPr>
      <t>22</t>
    </r>
    <r>
      <rPr>
        <sz val="10"/>
        <rFont val="Arial Narrow"/>
        <family val="2"/>
      </rPr>
      <t xml:space="preserve">                 </t>
    </r>
    <r>
      <rPr>
        <i/>
        <sz val="10"/>
        <rFont val="Arial Narrow"/>
        <family val="2"/>
      </rPr>
      <t>revoca la anulación del TEEM</t>
    </r>
  </si>
  <si>
    <r>
      <t xml:space="preserve">CAPULHUAC </t>
    </r>
    <r>
      <rPr>
        <vertAlign val="superscript"/>
        <sz val="10"/>
        <rFont val="Arial Narrow"/>
        <family val="2"/>
      </rPr>
      <t>29</t>
    </r>
  </si>
  <si>
    <r>
      <t xml:space="preserve">CHALCO </t>
    </r>
    <r>
      <rPr>
        <vertAlign val="superscript"/>
        <sz val="10"/>
        <rFont val="Arial Narrow"/>
        <family val="2"/>
      </rPr>
      <t>15</t>
    </r>
    <r>
      <rPr>
        <sz val="10"/>
        <rFont val="Arial Narrow"/>
        <family val="2"/>
      </rPr>
      <t xml:space="preserve">                      </t>
    </r>
    <r>
      <rPr>
        <i/>
        <sz val="10"/>
        <rFont val="Arial Narrow"/>
        <family val="2"/>
      </rPr>
      <t>revoca la anulación del TEEM</t>
    </r>
  </si>
  <si>
    <t>20 - Resolución a los juicios JI/13/2003 y JI/14/2003 acumulados, cambió el partido ganador, otorgándole la constancia de mayoría a la coalición ALIANZA PARA TODOS. Sin embargo, el TEPJF en la resolución al juicio SUP-JRC-105/2003 confirmó el cómputo municipal, otorgando la mayoría al PARTIDO de la REVOLUCION DEMOCRATICA.</t>
  </si>
  <si>
    <t>22 - Resolución a los juicios JI/110/2003 y JI/117/2003 acumulados, en la cual se determinó la NULIDAD DE LA ELECCIÓN. Sin embargo, el TEPJF en la resolución al juicio SUP-JRC-099/2003 modificó la sentencia del TEEM, y revocó la nulidad de la elección; confirmando la mayoría para el PARTIDO ACCION NACIONAL.</t>
  </si>
  <si>
    <t>15 - Resolución a los juicios JI/107/2003 y JI/108/2003 acumulados, cambió el partido ganador, otorgándole la constancia de mayoría a la coalición ALIANZA para TODOS. Sin embargo, el TEPJF resolvió en el juicio SUP-JRC-073/2003 modificar el cómputo municipal, declarando un empate entre la coalición ALIANZA para TODOS y el PARTIDO de la REVOLUCION DEMOCRATICA.</t>
  </si>
  <si>
    <r>
      <t xml:space="preserve">SAN ANTONIO LA ISLA </t>
    </r>
    <r>
      <rPr>
        <vertAlign val="superscript"/>
        <sz val="10"/>
        <rFont val="Arial Narrow"/>
        <family val="2"/>
      </rPr>
      <t>20</t>
    </r>
    <r>
      <rPr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revoca la anulación del TEEM</t>
    </r>
  </si>
  <si>
    <r>
      <t>ZACUALPAN</t>
    </r>
    <r>
      <rPr>
        <vertAlign val="superscript"/>
        <sz val="10"/>
        <rFont val="Arial Narrow"/>
        <family val="2"/>
      </rPr>
      <t xml:space="preserve"> 18</t>
    </r>
    <r>
      <rPr>
        <i/>
        <sz val="10"/>
        <rFont val="Arial Narrow"/>
        <family val="2"/>
      </rPr>
      <t xml:space="preserve">                  revoca la anulación del TEEM</t>
    </r>
  </si>
  <si>
    <t>30 - Resolución del TEPJF al juicio SUP-JRC-048/2003.</t>
  </si>
  <si>
    <r>
      <t xml:space="preserve">TECAMAC </t>
    </r>
    <r>
      <rPr>
        <vertAlign val="superscript"/>
        <sz val="10"/>
        <rFont val="Arial Narrow"/>
        <family val="2"/>
      </rPr>
      <t>30</t>
    </r>
  </si>
  <si>
    <r>
      <t xml:space="preserve">LUVIANOS </t>
    </r>
    <r>
      <rPr>
        <vertAlign val="superscript"/>
        <sz val="10"/>
        <rFont val="Arial Narrow"/>
        <family val="2"/>
      </rPr>
      <t>21</t>
    </r>
    <r>
      <rPr>
        <sz val="10"/>
        <rFont val="Arial Narrow"/>
        <family val="2"/>
      </rPr>
      <t xml:space="preserve">                     </t>
    </r>
    <r>
      <rPr>
        <i/>
        <sz val="10"/>
        <rFont val="Arial Narrow"/>
        <family val="2"/>
      </rPr>
      <t>revoca la anulación del TEEM</t>
    </r>
  </si>
  <si>
    <t>C15</t>
  </si>
  <si>
    <r>
      <t>RESULTADOS DE LAS CASILLAS ANULADAS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Y REVOCADAS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POR EL TRIBUNAL ELECTORAL DEL PODER JUDICIAL DE LA FEDERACIÓN</t>
    </r>
  </si>
  <si>
    <t>1 - Se indican con un signo negativo los subtotales que deben anularse.</t>
  </si>
  <si>
    <t>2 - En tanto que están con signo positivo aquellos subtotales que al ser revocada la anulación, entonces deben acumularse en el total municipal.</t>
  </si>
  <si>
    <t xml:space="preserve"> </t>
  </si>
  <si>
    <t>El porcentaje de votación está calculado con respecto a los votos válidos</t>
  </si>
  <si>
    <t>VALIDOS</t>
  </si>
  <si>
    <t>NULOS</t>
  </si>
  <si>
    <t>No. / MUNICIPIO</t>
  </si>
  <si>
    <t>RESULTADOS DE LA SESIÓN DE CÓMPUTO DE LOS CONSEJOS MUNICIPALES (votación válida emitida) (incluye resoluciones del TEEM y del TEPJF)</t>
  </si>
  <si>
    <r>
      <t>VILLA DE ALLENDE</t>
    </r>
    <r>
      <rPr>
        <vertAlign val="superscript"/>
        <sz val="10"/>
        <rFont val="Arial Narrow"/>
        <family val="2"/>
      </rPr>
      <t xml:space="preserve"> 7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</si>
</sst>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6"/>
      <name val="Arial"/>
      <family val="0"/>
    </font>
    <font>
      <b/>
      <u val="single"/>
      <sz val="8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vertAlign val="superscript"/>
      <sz val="10"/>
      <name val="Arial Narrow"/>
      <family val="2"/>
    </font>
    <font>
      <b/>
      <sz val="8"/>
      <name val="Arial Narrow"/>
      <family val="2"/>
    </font>
    <font>
      <vertAlign val="superscript"/>
      <sz val="9"/>
      <name val="Arial Narrow"/>
      <family val="2"/>
    </font>
    <font>
      <i/>
      <sz val="10"/>
      <color indexed="60"/>
      <name val="Arial Narrow"/>
      <family val="2"/>
    </font>
    <font>
      <i/>
      <sz val="10"/>
      <color indexed="9"/>
      <name val="Arial Narrow"/>
      <family val="2"/>
    </font>
    <font>
      <i/>
      <sz val="10"/>
      <name val="Arial Narrow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 Narrow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4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10" fontId="2" fillId="2" borderId="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9" fillId="0" borderId="7" xfId="0" applyFont="1" applyFill="1" applyBorder="1" applyAlignment="1">
      <alignment/>
    </xf>
    <xf numFmtId="3" fontId="9" fillId="0" borderId="6" xfId="0" applyNumberFormat="1" applyFont="1" applyFill="1" applyBorder="1" applyAlignment="1">
      <alignment/>
    </xf>
    <xf numFmtId="10" fontId="9" fillId="0" borderId="8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/>
    </xf>
    <xf numFmtId="10" fontId="9" fillId="0" borderId="9" xfId="0" applyNumberFormat="1" applyFont="1" applyFill="1" applyBorder="1" applyAlignment="1">
      <alignment/>
    </xf>
    <xf numFmtId="3" fontId="9" fillId="0" borderId="8" xfId="0" applyNumberFormat="1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10" fontId="9" fillId="0" borderId="1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1" fillId="2" borderId="2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justify"/>
    </xf>
    <xf numFmtId="0" fontId="2" fillId="2" borderId="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3" fontId="2" fillId="2" borderId="17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0" fontId="2" fillId="2" borderId="20" xfId="0" applyNumberFormat="1" applyFont="1" applyFill="1" applyBorder="1" applyAlignment="1">
      <alignment/>
    </xf>
    <xf numFmtId="3" fontId="9" fillId="0" borderId="9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9" fillId="0" borderId="7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3" fontId="15" fillId="0" borderId="9" xfId="0" applyNumberFormat="1" applyFont="1" applyFill="1" applyBorder="1" applyAlignment="1">
      <alignment horizontal="center"/>
    </xf>
    <xf numFmtId="3" fontId="15" fillId="0" borderId="1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6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9" fillId="0" borderId="9" xfId="0" applyNumberFormat="1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0" fontId="17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Continuous"/>
    </xf>
    <xf numFmtId="164" fontId="2" fillId="2" borderId="1" xfId="0" applyNumberFormat="1" applyFont="1" applyFill="1" applyBorder="1" applyAlignment="1">
      <alignment horizontal="centerContinuous"/>
    </xf>
    <xf numFmtId="164" fontId="2" fillId="2" borderId="5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9" fillId="0" borderId="9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4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left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9">
    <dxf>
      <font>
        <b/>
        <i val="0"/>
        <color rgb="FFFFFFFF"/>
      </font>
      <fill>
        <patternFill>
          <bgColor rgb="FF0000FF"/>
        </patternFill>
      </fill>
      <border/>
    </dxf>
    <dxf>
      <font>
        <b/>
        <i val="0"/>
        <color auto="1"/>
      </font>
      <fill>
        <patternFill>
          <bgColor rgb="FFFFFF00"/>
        </patternFill>
      </fill>
      <border/>
    </dxf>
    <dxf>
      <font>
        <b/>
        <i val="0"/>
        <color rgb="FFFFFFFF"/>
      </font>
      <fill>
        <patternFill>
          <bgColor rgb="FF00FF00"/>
        </patternFill>
      </fill>
      <border/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/>
        <i val="0"/>
        <color rgb="FF0000FF"/>
      </font>
      <fill>
        <patternFill>
          <bgColor rgb="FFFF6600"/>
        </patternFill>
      </fill>
      <border/>
    </dxf>
    <dxf>
      <font>
        <b/>
        <i val="0"/>
        <color rgb="FFFFFFFF"/>
      </font>
      <fill>
        <patternFill>
          <bgColor rgb="FFCC99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ont>
        <b/>
        <i val="0"/>
        <color rgb="FF000000"/>
      </font>
      <fill>
        <patternFill>
          <bgColor rgb="FFFFFF00"/>
        </patternFill>
      </fill>
      <border/>
    </dxf>
    <dxf>
      <font>
        <b/>
        <i val="0"/>
        <color rgb="FF0000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1</xdr:col>
      <xdr:colOff>1333500</xdr:colOff>
      <xdr:row>3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171450</xdr:colOff>
      <xdr:row>0</xdr:row>
      <xdr:rowOff>0</xdr:rowOff>
    </xdr:from>
    <xdr:to>
      <xdr:col>25</xdr:col>
      <xdr:colOff>676275</xdr:colOff>
      <xdr:row>3</xdr:row>
      <xdr:rowOff>47625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40050" y="0"/>
          <a:ext cx="5048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1314450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28575</xdr:colOff>
      <xdr:row>0</xdr:row>
      <xdr:rowOff>0</xdr:rowOff>
    </xdr:from>
    <xdr:to>
      <xdr:col>14</xdr:col>
      <xdr:colOff>561975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77375" y="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1314450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95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285750</xdr:colOff>
      <xdr:row>0</xdr:row>
      <xdr:rowOff>0</xdr:rowOff>
    </xdr:from>
    <xdr:to>
      <xdr:col>14</xdr:col>
      <xdr:colOff>171450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0"/>
          <a:ext cx="533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1276350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4668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123825</xdr:colOff>
      <xdr:row>0</xdr:row>
      <xdr:rowOff>0</xdr:rowOff>
    </xdr:from>
    <xdr:to>
      <xdr:col>25</xdr:col>
      <xdr:colOff>638175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0" y="0"/>
          <a:ext cx="514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3"/>
  <sheetViews>
    <sheetView tabSelected="1" zoomScale="75" zoomScaleNormal="75" workbookViewId="0" topLeftCell="A3">
      <pane xSplit="2" ySplit="5" topLeftCell="C8" activePane="bottomRight" state="frozen"/>
      <selection pane="topLeft" activeCell="A3" sqref="A3"/>
      <selection pane="topRight" activeCell="C3" sqref="C3"/>
      <selection pane="bottomLeft" activeCell="A8" sqref="A8"/>
      <selection pane="bottomRight" activeCell="C8" sqref="C8"/>
    </sheetView>
  </sheetViews>
  <sheetFormatPr defaultColWidth="11.421875" defaultRowHeight="12.75"/>
  <cols>
    <col min="1" max="1" width="3.7109375" style="0" customWidth="1"/>
    <col min="2" max="2" width="25.8515625" style="0" customWidth="1"/>
    <col min="3" max="3" width="9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1" width="8.7109375" style="0" customWidth="1"/>
    <col min="22" max="22" width="7.7109375" style="0" customWidth="1"/>
    <col min="23" max="23" width="9.7109375" style="0" customWidth="1"/>
    <col min="24" max="24" width="13.00390625" style="0" customWidth="1"/>
    <col min="25" max="25" width="13.421875" style="0" customWidth="1"/>
    <col min="26" max="26" width="13.00390625" style="0" customWidth="1"/>
    <col min="27" max="27" width="6.00390625" style="0" customWidth="1"/>
  </cols>
  <sheetData>
    <row r="1" spans="1:27" ht="15.75">
      <c r="A1" t="s">
        <v>0</v>
      </c>
      <c r="D1" s="1" t="s">
        <v>1</v>
      </c>
      <c r="W1" s="2"/>
      <c r="X1" s="2"/>
      <c r="Y1" s="2"/>
      <c r="Z1" s="2"/>
      <c r="AA1" s="2"/>
    </row>
    <row r="2" spans="3:27" ht="15">
      <c r="C2" s="4"/>
      <c r="D2" s="5" t="s">
        <v>2</v>
      </c>
      <c r="W2" s="2"/>
      <c r="X2" s="2"/>
      <c r="Y2" s="2"/>
      <c r="Z2" s="2"/>
      <c r="AA2" s="2"/>
    </row>
    <row r="3" spans="3:27" ht="15.75" customHeight="1">
      <c r="C3" s="6"/>
      <c r="D3" s="5" t="s">
        <v>203</v>
      </c>
      <c r="W3" s="90"/>
      <c r="X3" s="90"/>
      <c r="Y3" s="2"/>
      <c r="Z3" s="2"/>
      <c r="AA3" s="2"/>
    </row>
    <row r="4" spans="1:27" ht="15" customHeight="1">
      <c r="A4" s="7"/>
      <c r="B4" s="8"/>
      <c r="C4" s="91"/>
      <c r="D4" s="7"/>
      <c r="E4" s="7"/>
      <c r="F4" s="7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X4" s="10"/>
      <c r="Y4" s="10"/>
      <c r="Z4" s="10"/>
      <c r="AA4" s="10"/>
    </row>
    <row r="5" spans="1:27" ht="12.75">
      <c r="A5" s="11" t="s">
        <v>34</v>
      </c>
      <c r="B5" s="12"/>
      <c r="C5" s="13" t="s">
        <v>3</v>
      </c>
      <c r="D5" s="14"/>
      <c r="E5" s="13" t="s">
        <v>4</v>
      </c>
      <c r="F5" s="14"/>
      <c r="G5" s="13" t="s">
        <v>5</v>
      </c>
      <c r="H5" s="14"/>
      <c r="I5" s="13" t="s">
        <v>6</v>
      </c>
      <c r="J5" s="14"/>
      <c r="K5" s="13" t="s">
        <v>7</v>
      </c>
      <c r="L5" s="14"/>
      <c r="M5" s="13" t="s">
        <v>8</v>
      </c>
      <c r="N5" s="14"/>
      <c r="O5" s="13" t="s">
        <v>9</v>
      </c>
      <c r="P5" s="14"/>
      <c r="Q5" s="13" t="s">
        <v>10</v>
      </c>
      <c r="R5" s="14"/>
      <c r="S5" s="13" t="s">
        <v>11</v>
      </c>
      <c r="T5" s="14"/>
      <c r="U5" s="15" t="s">
        <v>12</v>
      </c>
      <c r="V5" s="15"/>
      <c r="W5" s="16" t="s">
        <v>13</v>
      </c>
      <c r="X5" s="63" t="s">
        <v>121</v>
      </c>
      <c r="Y5" s="63" t="s">
        <v>204</v>
      </c>
      <c r="Z5" s="63" t="s">
        <v>121</v>
      </c>
      <c r="AA5" s="65"/>
    </row>
    <row r="6" spans="1:27" ht="13.5">
      <c r="A6" s="18"/>
      <c r="B6" s="19"/>
      <c r="C6" s="20" t="s">
        <v>15</v>
      </c>
      <c r="D6" s="21" t="s">
        <v>16</v>
      </c>
      <c r="E6" s="20" t="s">
        <v>15</v>
      </c>
      <c r="F6" s="21" t="s">
        <v>16</v>
      </c>
      <c r="G6" s="20" t="s">
        <v>15</v>
      </c>
      <c r="H6" s="21" t="s">
        <v>16</v>
      </c>
      <c r="I6" s="20" t="s">
        <v>15</v>
      </c>
      <c r="J6" s="21" t="s">
        <v>16</v>
      </c>
      <c r="K6" s="20" t="s">
        <v>15</v>
      </c>
      <c r="L6" s="21" t="s">
        <v>16</v>
      </c>
      <c r="M6" s="20" t="s">
        <v>15</v>
      </c>
      <c r="N6" s="21" t="s">
        <v>16</v>
      </c>
      <c r="O6" s="20" t="s">
        <v>15</v>
      </c>
      <c r="P6" s="21" t="s">
        <v>16</v>
      </c>
      <c r="Q6" s="20" t="s">
        <v>15</v>
      </c>
      <c r="R6" s="21" t="s">
        <v>16</v>
      </c>
      <c r="S6" s="20" t="s">
        <v>15</v>
      </c>
      <c r="T6" s="21" t="s">
        <v>16</v>
      </c>
      <c r="U6" s="20" t="s">
        <v>15</v>
      </c>
      <c r="V6" s="21" t="s">
        <v>16</v>
      </c>
      <c r="W6" s="22"/>
      <c r="X6" s="64" t="s">
        <v>122</v>
      </c>
      <c r="Y6" s="64" t="s">
        <v>199</v>
      </c>
      <c r="Z6" s="64" t="s">
        <v>199</v>
      </c>
      <c r="AA6" s="66"/>
    </row>
    <row r="7" spans="1:27" ht="12.75">
      <c r="A7" s="111" t="s">
        <v>13</v>
      </c>
      <c r="B7" s="112"/>
      <c r="C7" s="23">
        <f>SUM(C8:C131)</f>
        <v>990187</v>
      </c>
      <c r="D7" s="24">
        <f>C7/$W$7</f>
        <v>0.2855001392631566</v>
      </c>
      <c r="E7" s="23">
        <f>SUM(E8:E131)</f>
        <v>1187596</v>
      </c>
      <c r="F7" s="24">
        <f>E7/$W$7</f>
        <v>0.3424189808474235</v>
      </c>
      <c r="G7" s="23">
        <f>SUM(G8:G131)</f>
        <v>834673</v>
      </c>
      <c r="H7" s="24">
        <f>G7/$W$7</f>
        <v>0.24066086278571291</v>
      </c>
      <c r="I7" s="23">
        <f>SUM(I8:I131)</f>
        <v>160759</v>
      </c>
      <c r="J7" s="24">
        <f>I7/$W$7</f>
        <v>0.046351564793120685</v>
      </c>
      <c r="K7" s="23">
        <f>SUM(K8:K131)</f>
        <v>94787</v>
      </c>
      <c r="L7" s="24">
        <f>K7/$W$7</f>
        <v>0.027329889910023893</v>
      </c>
      <c r="M7" s="23">
        <f>SUM(M8:M131)</f>
        <v>26774</v>
      </c>
      <c r="N7" s="24">
        <f>M7/$W$7</f>
        <v>0.007719734483114559</v>
      </c>
      <c r="O7" s="23">
        <f>SUM(O8:O131)</f>
        <v>33513</v>
      </c>
      <c r="P7" s="24">
        <f>O7/$W$7</f>
        <v>0.009662787096908126</v>
      </c>
      <c r="Q7" s="23">
        <f>SUM(Q8:Q131)</f>
        <v>35215</v>
      </c>
      <c r="R7" s="24">
        <f>Q7/$W$7</f>
        <v>0.01015352393452152</v>
      </c>
      <c r="S7" s="23">
        <f>SUM(S8:S131)</f>
        <v>5522</v>
      </c>
      <c r="T7" s="24">
        <f>S7/$W$7</f>
        <v>0.0015921555918338162</v>
      </c>
      <c r="U7" s="23">
        <f>SUM(U8:U131)</f>
        <v>99228</v>
      </c>
      <c r="V7" s="24">
        <f>U7/$W$7</f>
        <v>0.028610361294184337</v>
      </c>
      <c r="W7" s="23">
        <f>SUM(W8:W131)</f>
        <v>3468254</v>
      </c>
      <c r="X7" s="59">
        <f>SUM(X8:X131)</f>
        <v>29503</v>
      </c>
      <c r="Y7" s="59">
        <f>SUM(Y8:Y131)</f>
        <v>2651</v>
      </c>
      <c r="Z7" s="59">
        <f>SUM(Z8:Z131)</f>
        <v>15039</v>
      </c>
      <c r="AA7" s="67"/>
    </row>
    <row r="8" spans="1:27" ht="12.75">
      <c r="A8" s="25">
        <v>1</v>
      </c>
      <c r="B8" s="26" t="s">
        <v>35</v>
      </c>
      <c r="C8" s="27">
        <v>5981</v>
      </c>
      <c r="D8" s="28">
        <f aca="true" t="shared" si="0" ref="D8:D71">C8/$W8</f>
        <v>0.33469501958589815</v>
      </c>
      <c r="E8" s="31">
        <v>7691</v>
      </c>
      <c r="F8" s="28">
        <f aca="true" t="shared" si="1" ref="F8:F71">E8/$W8</f>
        <v>0.43038612199216564</v>
      </c>
      <c r="G8" s="31">
        <v>1078</v>
      </c>
      <c r="H8" s="28">
        <f aca="true" t="shared" si="2" ref="H8:H71">G8/$W8</f>
        <v>0.060324566312255176</v>
      </c>
      <c r="I8" s="31">
        <v>1889</v>
      </c>
      <c r="J8" s="28">
        <f aca="true" t="shared" si="3" ref="J8:J71">I8/$W8</f>
        <v>0.10570789031897034</v>
      </c>
      <c r="K8" s="31">
        <v>33</v>
      </c>
      <c r="L8" s="28">
        <f aca="true" t="shared" si="4" ref="L8:L71">K8/$W8</f>
        <v>0.001846670397313934</v>
      </c>
      <c r="M8" s="31">
        <v>63</v>
      </c>
      <c r="N8" s="28">
        <f aca="true" t="shared" si="5" ref="N8:N71">M8/$W8</f>
        <v>0.0035254616675993284</v>
      </c>
      <c r="O8" s="31">
        <v>66</v>
      </c>
      <c r="P8" s="28">
        <f aca="true" t="shared" si="6" ref="P8:P71">O8/W8</f>
        <v>0.003693340794627868</v>
      </c>
      <c r="Q8" s="31">
        <v>1</v>
      </c>
      <c r="R8" s="28">
        <f aca="true" t="shared" si="7" ref="R8:R71">Q8/$W8</f>
        <v>5.595970900951315E-05</v>
      </c>
      <c r="S8" s="31">
        <v>9</v>
      </c>
      <c r="T8" s="28">
        <f aca="true" t="shared" si="8" ref="T8:T71">S8/$W8</f>
        <v>0.0005036373810856184</v>
      </c>
      <c r="U8" s="31">
        <v>1059</v>
      </c>
      <c r="V8" s="28">
        <f aca="true" t="shared" si="9" ref="V8:V71">U8/$W8</f>
        <v>0.059261331841074426</v>
      </c>
      <c r="W8" s="32">
        <f>C8+E8+G8+I8+K8+M8+O8+Q8+S8+U8</f>
        <v>17870</v>
      </c>
      <c r="X8" s="60">
        <v>0</v>
      </c>
      <c r="Y8" s="60">
        <v>0</v>
      </c>
      <c r="Z8" s="60">
        <v>0</v>
      </c>
      <c r="AA8" s="62"/>
    </row>
    <row r="9" spans="1:27" ht="12.75">
      <c r="A9" s="35">
        <v>2</v>
      </c>
      <c r="B9" s="36" t="s">
        <v>36</v>
      </c>
      <c r="C9" s="37">
        <v>3916</v>
      </c>
      <c r="D9" s="30">
        <f t="shared" si="0"/>
        <v>0.2037991152745251</v>
      </c>
      <c r="E9" s="29">
        <v>3971</v>
      </c>
      <c r="F9" s="30">
        <f t="shared" si="1"/>
        <v>0.20666146239916733</v>
      </c>
      <c r="G9" s="29">
        <v>7845</v>
      </c>
      <c r="H9" s="30">
        <f t="shared" si="2"/>
        <v>0.40827478532396566</v>
      </c>
      <c r="I9" s="29">
        <v>499</v>
      </c>
      <c r="J9" s="30">
        <f t="shared" si="3"/>
        <v>0.02596929482175384</v>
      </c>
      <c r="K9" s="29">
        <v>252</v>
      </c>
      <c r="L9" s="30">
        <f t="shared" si="4"/>
        <v>0.013114754098360656</v>
      </c>
      <c r="M9" s="29">
        <v>0</v>
      </c>
      <c r="N9" s="30">
        <f t="shared" si="5"/>
        <v>0</v>
      </c>
      <c r="O9" s="29">
        <v>0</v>
      </c>
      <c r="P9" s="30">
        <f t="shared" si="6"/>
        <v>0</v>
      </c>
      <c r="Q9" s="29">
        <v>2221</v>
      </c>
      <c r="R9" s="30">
        <f t="shared" si="7"/>
        <v>0.11558678116055165</v>
      </c>
      <c r="S9" s="29">
        <v>6</v>
      </c>
      <c r="T9" s="30">
        <f t="shared" si="8"/>
        <v>0.000312256049960968</v>
      </c>
      <c r="U9" s="29">
        <v>505</v>
      </c>
      <c r="V9" s="30">
        <f t="shared" si="9"/>
        <v>0.026281550871714805</v>
      </c>
      <c r="W9" s="38">
        <f aca="true" t="shared" si="10" ref="W9:W72">C9+E9+G9+I9+K9+M9+O9+Q9+S9+U9</f>
        <v>19215</v>
      </c>
      <c r="X9" s="61">
        <v>0</v>
      </c>
      <c r="Y9" s="61">
        <v>0</v>
      </c>
      <c r="Z9" s="61">
        <v>0</v>
      </c>
      <c r="AA9" s="62"/>
    </row>
    <row r="10" spans="1:27" ht="12.75">
      <c r="A10" s="35">
        <v>3</v>
      </c>
      <c r="B10" s="36" t="s">
        <v>37</v>
      </c>
      <c r="C10" s="37">
        <v>4625</v>
      </c>
      <c r="D10" s="30">
        <f t="shared" si="0"/>
        <v>0.35410764872521244</v>
      </c>
      <c r="E10" s="29">
        <v>6514</v>
      </c>
      <c r="F10" s="30">
        <f t="shared" si="1"/>
        <v>0.4987366970369803</v>
      </c>
      <c r="G10" s="29">
        <v>1193</v>
      </c>
      <c r="H10" s="30">
        <f t="shared" si="2"/>
        <v>0.09134063241711966</v>
      </c>
      <c r="I10" s="29">
        <v>101</v>
      </c>
      <c r="J10" s="30">
        <f t="shared" si="3"/>
        <v>0.007732945409999234</v>
      </c>
      <c r="K10" s="29">
        <v>0</v>
      </c>
      <c r="L10" s="30">
        <f t="shared" si="4"/>
        <v>0</v>
      </c>
      <c r="M10" s="29">
        <v>124</v>
      </c>
      <c r="N10" s="30">
        <f t="shared" si="5"/>
        <v>0.009493913176632724</v>
      </c>
      <c r="O10" s="29">
        <v>0</v>
      </c>
      <c r="P10" s="30">
        <f t="shared" si="6"/>
        <v>0</v>
      </c>
      <c r="Q10" s="29">
        <v>24</v>
      </c>
      <c r="R10" s="30">
        <f t="shared" si="7"/>
        <v>0.0018375315825740755</v>
      </c>
      <c r="S10" s="29">
        <v>3</v>
      </c>
      <c r="T10" s="30">
        <f t="shared" si="8"/>
        <v>0.00022969144782175943</v>
      </c>
      <c r="U10" s="29">
        <v>477</v>
      </c>
      <c r="V10" s="30">
        <f t="shared" si="9"/>
        <v>0.03652094020365975</v>
      </c>
      <c r="W10" s="38">
        <f t="shared" si="10"/>
        <v>13061</v>
      </c>
      <c r="X10" s="61">
        <v>0</v>
      </c>
      <c r="Y10" s="61">
        <v>0</v>
      </c>
      <c r="Z10" s="61">
        <v>0</v>
      </c>
      <c r="AA10" s="62"/>
    </row>
    <row r="11" spans="1:27" ht="12.75">
      <c r="A11" s="35">
        <v>4</v>
      </c>
      <c r="B11" s="36" t="s">
        <v>38</v>
      </c>
      <c r="C11" s="37">
        <v>531</v>
      </c>
      <c r="D11" s="30">
        <f t="shared" si="0"/>
        <v>0.09786214522668632</v>
      </c>
      <c r="E11" s="29">
        <v>2967</v>
      </c>
      <c r="F11" s="30">
        <f t="shared" si="1"/>
        <v>0.5468116476225581</v>
      </c>
      <c r="G11" s="29">
        <v>1718</v>
      </c>
      <c r="H11" s="30">
        <f t="shared" si="2"/>
        <v>0.3166236638407667</v>
      </c>
      <c r="I11" s="29">
        <v>44</v>
      </c>
      <c r="J11" s="30">
        <f t="shared" si="3"/>
        <v>0.008109104312569112</v>
      </c>
      <c r="K11" s="29">
        <v>0</v>
      </c>
      <c r="L11" s="30">
        <f t="shared" si="4"/>
        <v>0</v>
      </c>
      <c r="M11" s="29">
        <v>15</v>
      </c>
      <c r="N11" s="30">
        <f t="shared" si="5"/>
        <v>0.0027644673792849243</v>
      </c>
      <c r="O11" s="29">
        <v>20</v>
      </c>
      <c r="P11" s="30">
        <f t="shared" si="6"/>
        <v>0.003685956505713233</v>
      </c>
      <c r="Q11" s="29">
        <v>0</v>
      </c>
      <c r="R11" s="30">
        <f t="shared" si="7"/>
        <v>0</v>
      </c>
      <c r="S11" s="29">
        <v>1</v>
      </c>
      <c r="T11" s="30">
        <f t="shared" si="8"/>
        <v>0.00018429782528566163</v>
      </c>
      <c r="U11" s="29">
        <v>130</v>
      </c>
      <c r="V11" s="30">
        <f t="shared" si="9"/>
        <v>0.02395871728713601</v>
      </c>
      <c r="W11" s="38">
        <f t="shared" si="10"/>
        <v>5426</v>
      </c>
      <c r="X11" s="61">
        <v>0</v>
      </c>
      <c r="Y11" s="61">
        <v>0</v>
      </c>
      <c r="Z11" s="61">
        <v>0</v>
      </c>
      <c r="AA11" s="62"/>
    </row>
    <row r="12" spans="1:27" ht="12.75">
      <c r="A12" s="35">
        <v>5</v>
      </c>
      <c r="B12" s="36" t="s">
        <v>39</v>
      </c>
      <c r="C12" s="37">
        <v>3736</v>
      </c>
      <c r="D12" s="30">
        <f t="shared" si="0"/>
        <v>0.1069322800389261</v>
      </c>
      <c r="E12" s="29">
        <v>13465</v>
      </c>
      <c r="F12" s="30">
        <f t="shared" si="1"/>
        <v>0.3853969889518576</v>
      </c>
      <c r="G12" s="29">
        <v>9438</v>
      </c>
      <c r="H12" s="30">
        <f t="shared" si="2"/>
        <v>0.2701356688991929</v>
      </c>
      <c r="I12" s="29">
        <v>6281</v>
      </c>
      <c r="J12" s="30">
        <f t="shared" si="3"/>
        <v>0.17977560249584978</v>
      </c>
      <c r="K12" s="29">
        <v>137</v>
      </c>
      <c r="L12" s="30">
        <f t="shared" si="4"/>
        <v>0.003921231896502376</v>
      </c>
      <c r="M12" s="29">
        <v>221</v>
      </c>
      <c r="N12" s="30">
        <f t="shared" si="5"/>
        <v>0.006325490869540328</v>
      </c>
      <c r="O12" s="29">
        <v>0</v>
      </c>
      <c r="P12" s="30">
        <f t="shared" si="6"/>
        <v>0</v>
      </c>
      <c r="Q12" s="29">
        <v>186</v>
      </c>
      <c r="R12" s="30">
        <f t="shared" si="7"/>
        <v>0.005323716297441181</v>
      </c>
      <c r="S12" s="29">
        <v>7</v>
      </c>
      <c r="T12" s="30">
        <f t="shared" si="8"/>
        <v>0.0002003549144198294</v>
      </c>
      <c r="U12" s="29">
        <v>1467</v>
      </c>
      <c r="V12" s="30">
        <f t="shared" si="9"/>
        <v>0.04198866563626996</v>
      </c>
      <c r="W12" s="38">
        <f t="shared" si="10"/>
        <v>34938</v>
      </c>
      <c r="X12" s="61">
        <v>0</v>
      </c>
      <c r="Y12" s="61">
        <v>0</v>
      </c>
      <c r="Z12" s="61">
        <v>0</v>
      </c>
      <c r="AA12" s="62"/>
    </row>
    <row r="13" spans="1:27" ht="12.75">
      <c r="A13" s="35">
        <v>6</v>
      </c>
      <c r="B13" s="36" t="s">
        <v>40</v>
      </c>
      <c r="C13" s="37">
        <v>1231</v>
      </c>
      <c r="D13" s="30">
        <f t="shared" si="0"/>
        <v>0.3465653153153153</v>
      </c>
      <c r="E13" s="29">
        <v>1351</v>
      </c>
      <c r="F13" s="30">
        <f t="shared" si="1"/>
        <v>0.3803490990990991</v>
      </c>
      <c r="G13" s="29">
        <v>474</v>
      </c>
      <c r="H13" s="30">
        <f t="shared" si="2"/>
        <v>0.13344594594594594</v>
      </c>
      <c r="I13" s="29">
        <v>340</v>
      </c>
      <c r="J13" s="30">
        <f t="shared" si="3"/>
        <v>0.09572072072072071</v>
      </c>
      <c r="K13" s="29">
        <v>54</v>
      </c>
      <c r="L13" s="30">
        <f t="shared" si="4"/>
        <v>0.015202702702702704</v>
      </c>
      <c r="M13" s="29">
        <v>9</v>
      </c>
      <c r="N13" s="30">
        <f t="shared" si="5"/>
        <v>0.002533783783783784</v>
      </c>
      <c r="O13" s="29">
        <v>0</v>
      </c>
      <c r="P13" s="30">
        <f t="shared" si="6"/>
        <v>0</v>
      </c>
      <c r="Q13" s="29">
        <v>2</v>
      </c>
      <c r="R13" s="30">
        <f t="shared" si="7"/>
        <v>0.0005630630630630631</v>
      </c>
      <c r="S13" s="29">
        <v>0</v>
      </c>
      <c r="T13" s="30">
        <f t="shared" si="8"/>
        <v>0</v>
      </c>
      <c r="U13" s="29">
        <v>91</v>
      </c>
      <c r="V13" s="30">
        <f t="shared" si="9"/>
        <v>0.025619369369369368</v>
      </c>
      <c r="W13" s="38">
        <f t="shared" si="10"/>
        <v>3552</v>
      </c>
      <c r="X13" s="61">
        <v>0</v>
      </c>
      <c r="Y13" s="61">
        <v>0</v>
      </c>
      <c r="Z13" s="61">
        <v>0</v>
      </c>
      <c r="AA13" s="62"/>
    </row>
    <row r="14" spans="1:27" ht="12.75">
      <c r="A14" s="35">
        <v>7</v>
      </c>
      <c r="B14" s="36" t="s">
        <v>41</v>
      </c>
      <c r="C14" s="37">
        <v>1115</v>
      </c>
      <c r="D14" s="30">
        <f t="shared" si="0"/>
        <v>0.15313830517786017</v>
      </c>
      <c r="E14" s="29">
        <v>3020</v>
      </c>
      <c r="F14" s="30">
        <f t="shared" si="1"/>
        <v>0.41477818980909215</v>
      </c>
      <c r="G14" s="29">
        <v>2655</v>
      </c>
      <c r="H14" s="30">
        <f t="shared" si="2"/>
        <v>0.3646477132262052</v>
      </c>
      <c r="I14" s="29">
        <v>125</v>
      </c>
      <c r="J14" s="30">
        <f t="shared" si="3"/>
        <v>0.017167971432495537</v>
      </c>
      <c r="K14" s="29">
        <v>0</v>
      </c>
      <c r="L14" s="30">
        <f t="shared" si="4"/>
        <v>0</v>
      </c>
      <c r="M14" s="29">
        <v>16</v>
      </c>
      <c r="N14" s="30">
        <f t="shared" si="5"/>
        <v>0.002197500343359429</v>
      </c>
      <c r="O14" s="29">
        <v>0</v>
      </c>
      <c r="P14" s="30">
        <f t="shared" si="6"/>
        <v>0</v>
      </c>
      <c r="Q14" s="29">
        <v>0</v>
      </c>
      <c r="R14" s="30">
        <f t="shared" si="7"/>
        <v>0</v>
      </c>
      <c r="S14" s="29">
        <v>9</v>
      </c>
      <c r="T14" s="30">
        <f t="shared" si="8"/>
        <v>0.0012360939431396785</v>
      </c>
      <c r="U14" s="29">
        <v>341</v>
      </c>
      <c r="V14" s="30">
        <f t="shared" si="9"/>
        <v>0.046834226067847824</v>
      </c>
      <c r="W14" s="38">
        <f t="shared" si="10"/>
        <v>7281</v>
      </c>
      <c r="X14" s="61">
        <v>0</v>
      </c>
      <c r="Y14" s="61">
        <v>0</v>
      </c>
      <c r="Z14" s="61">
        <v>0</v>
      </c>
      <c r="AA14" s="62"/>
    </row>
    <row r="15" spans="1:27" ht="15">
      <c r="A15" s="35">
        <v>8</v>
      </c>
      <c r="B15" s="36" t="s">
        <v>138</v>
      </c>
      <c r="C15" s="37">
        <f>418-'Cas anuladas TEEM'!E8</f>
        <v>389</v>
      </c>
      <c r="D15" s="30">
        <f t="shared" si="0"/>
        <v>0.0356586304885874</v>
      </c>
      <c r="E15" s="29">
        <f>5098-'Cas anuladas TEEM'!F8</f>
        <v>4932</v>
      </c>
      <c r="F15" s="30">
        <f t="shared" si="1"/>
        <v>0.4521037675313961</v>
      </c>
      <c r="G15" s="29">
        <f>5243-'Cas anuladas TEEM'!G8</f>
        <v>5062</v>
      </c>
      <c r="H15" s="30">
        <f t="shared" si="2"/>
        <v>0.4640205335044459</v>
      </c>
      <c r="I15" s="29">
        <f>111-'Cas anuladas TEEM'!H8</f>
        <v>111</v>
      </c>
      <c r="J15" s="30">
        <f t="shared" si="3"/>
        <v>0.01017508479237327</v>
      </c>
      <c r="K15" s="29">
        <f>2-'Cas anuladas TEEM'!I8</f>
        <v>2</v>
      </c>
      <c r="L15" s="30">
        <f t="shared" si="4"/>
        <v>0.0001833348611238427</v>
      </c>
      <c r="M15" s="29">
        <f>25-'Cas anuladas TEEM'!J8</f>
        <v>24</v>
      </c>
      <c r="N15" s="30">
        <f t="shared" si="5"/>
        <v>0.002200018333486112</v>
      </c>
      <c r="O15" s="29">
        <f>63-'Cas anuladas TEEM'!K8</f>
        <v>59</v>
      </c>
      <c r="P15" s="30">
        <f t="shared" si="6"/>
        <v>0.00540837840315336</v>
      </c>
      <c r="Q15" s="29">
        <f>3-'Cas anuladas TEEM'!L8</f>
        <v>3</v>
      </c>
      <c r="R15" s="30">
        <f t="shared" si="7"/>
        <v>0.000275002291685764</v>
      </c>
      <c r="S15" s="29">
        <f>14-'Cas anuladas TEEM'!M8</f>
        <v>14</v>
      </c>
      <c r="T15" s="30">
        <f t="shared" si="8"/>
        <v>0.001283344027866899</v>
      </c>
      <c r="U15" s="29">
        <f>328-'Cas anuladas TEEM'!N8</f>
        <v>313</v>
      </c>
      <c r="V15" s="30">
        <f t="shared" si="9"/>
        <v>0.028691905765881383</v>
      </c>
      <c r="W15" s="38">
        <f t="shared" si="10"/>
        <v>10909</v>
      </c>
      <c r="X15" s="61">
        <f>'Cas anuladas TEEM'!O8</f>
        <v>396</v>
      </c>
      <c r="Y15" s="61">
        <v>0</v>
      </c>
      <c r="Z15" s="61">
        <v>0</v>
      </c>
      <c r="AA15" s="62"/>
    </row>
    <row r="16" spans="1:27" ht="12.75">
      <c r="A16" s="35">
        <v>9</v>
      </c>
      <c r="B16" s="36" t="s">
        <v>32</v>
      </c>
      <c r="C16" s="37">
        <v>5777</v>
      </c>
      <c r="D16" s="30">
        <f t="shared" si="0"/>
        <v>0.3643875362684496</v>
      </c>
      <c r="E16" s="29">
        <v>3795</v>
      </c>
      <c r="F16" s="30">
        <f t="shared" si="1"/>
        <v>0.23937176737731802</v>
      </c>
      <c r="G16" s="29">
        <v>4316</v>
      </c>
      <c r="H16" s="30">
        <f t="shared" si="2"/>
        <v>0.27223413649552164</v>
      </c>
      <c r="I16" s="29">
        <v>777</v>
      </c>
      <c r="J16" s="30">
        <f t="shared" si="3"/>
        <v>0.04900971363693705</v>
      </c>
      <c r="K16" s="29">
        <v>479</v>
      </c>
      <c r="L16" s="30">
        <f t="shared" si="4"/>
        <v>0.030213195408098904</v>
      </c>
      <c r="M16" s="29">
        <v>43</v>
      </c>
      <c r="N16" s="30">
        <f t="shared" si="5"/>
        <v>0.002712249274631008</v>
      </c>
      <c r="O16" s="29">
        <v>61</v>
      </c>
      <c r="P16" s="30">
        <f t="shared" si="6"/>
        <v>0.003847609436104453</v>
      </c>
      <c r="Q16" s="29">
        <v>63</v>
      </c>
      <c r="R16" s="30">
        <f t="shared" si="7"/>
        <v>0.003973760565157058</v>
      </c>
      <c r="S16" s="29">
        <v>1</v>
      </c>
      <c r="T16" s="30">
        <f t="shared" si="8"/>
        <v>6.307556452630251E-05</v>
      </c>
      <c r="U16" s="29">
        <v>542</v>
      </c>
      <c r="V16" s="30">
        <f t="shared" si="9"/>
        <v>0.03418695597325596</v>
      </c>
      <c r="W16" s="38">
        <f t="shared" si="10"/>
        <v>15854</v>
      </c>
      <c r="X16" s="61">
        <v>0</v>
      </c>
      <c r="Y16" s="61">
        <v>0</v>
      </c>
      <c r="Z16" s="61">
        <v>0</v>
      </c>
      <c r="AA16" s="62"/>
    </row>
    <row r="17" spans="1:27" ht="12.75">
      <c r="A17" s="35">
        <v>10</v>
      </c>
      <c r="B17" s="36" t="s">
        <v>42</v>
      </c>
      <c r="C17" s="37">
        <v>2323</v>
      </c>
      <c r="D17" s="30">
        <f t="shared" si="0"/>
        <v>0.2879990081824944</v>
      </c>
      <c r="E17" s="29">
        <v>3246</v>
      </c>
      <c r="F17" s="30">
        <f t="shared" si="1"/>
        <v>0.4024299528886685</v>
      </c>
      <c r="G17" s="29">
        <v>1917</v>
      </c>
      <c r="H17" s="30">
        <f t="shared" si="2"/>
        <v>0.23766426977436153</v>
      </c>
      <c r="I17" s="29">
        <v>37</v>
      </c>
      <c r="J17" s="30">
        <f t="shared" si="3"/>
        <v>0.0045871559633027525</v>
      </c>
      <c r="K17" s="29">
        <v>0</v>
      </c>
      <c r="L17" s="30">
        <f t="shared" si="4"/>
        <v>0</v>
      </c>
      <c r="M17" s="29">
        <v>0</v>
      </c>
      <c r="N17" s="30">
        <f t="shared" si="5"/>
        <v>0</v>
      </c>
      <c r="O17" s="29">
        <v>346</v>
      </c>
      <c r="P17" s="30">
        <f t="shared" si="6"/>
        <v>0.042896107116290605</v>
      </c>
      <c r="Q17" s="29">
        <v>77</v>
      </c>
      <c r="R17" s="30">
        <f t="shared" si="7"/>
        <v>0.00954624349119762</v>
      </c>
      <c r="S17" s="29">
        <v>0</v>
      </c>
      <c r="T17" s="30">
        <f t="shared" si="8"/>
        <v>0</v>
      </c>
      <c r="U17" s="29">
        <v>120</v>
      </c>
      <c r="V17" s="30">
        <f t="shared" si="9"/>
        <v>0.014877262583684603</v>
      </c>
      <c r="W17" s="38">
        <f t="shared" si="10"/>
        <v>8066</v>
      </c>
      <c r="X17" s="61">
        <v>0</v>
      </c>
      <c r="Y17" s="61">
        <v>0</v>
      </c>
      <c r="Z17" s="61">
        <v>0</v>
      </c>
      <c r="AA17" s="62"/>
    </row>
    <row r="18" spans="1:27" ht="15.75">
      <c r="A18" s="35">
        <v>11</v>
      </c>
      <c r="B18" s="45" t="s">
        <v>180</v>
      </c>
      <c r="C18" s="37">
        <f>337-'Cas anuladas TEEM'!E21</f>
        <v>315</v>
      </c>
      <c r="D18" s="30">
        <f t="shared" si="0"/>
        <v>0.07487520798668885</v>
      </c>
      <c r="E18" s="29">
        <f>2816-'Cas anuladas TEEM'!F21</f>
        <v>2719</v>
      </c>
      <c r="F18" s="30">
        <f t="shared" si="1"/>
        <v>0.6463037794152603</v>
      </c>
      <c r="G18" s="29">
        <f>826-'Cas anuladas TEEM'!G21</f>
        <v>795</v>
      </c>
      <c r="H18" s="30">
        <f t="shared" si="2"/>
        <v>0.18897076301402424</v>
      </c>
      <c r="I18" s="29">
        <f>149-'Cas anuladas TEEM'!H21</f>
        <v>145</v>
      </c>
      <c r="J18" s="30">
        <f t="shared" si="3"/>
        <v>0.03446636558117423</v>
      </c>
      <c r="K18" s="29">
        <f>0-'Cas anuladas TEEM'!I21</f>
        <v>0</v>
      </c>
      <c r="L18" s="30">
        <f t="shared" si="4"/>
        <v>0</v>
      </c>
      <c r="M18" s="29">
        <f>0-'Cas anuladas TEEM'!J21</f>
        <v>0</v>
      </c>
      <c r="N18" s="30">
        <f t="shared" si="5"/>
        <v>0</v>
      </c>
      <c r="O18" s="29">
        <f>114-'Cas anuladas TEEM'!K21</f>
        <v>112</v>
      </c>
      <c r="P18" s="30">
        <f t="shared" si="6"/>
        <v>0.026622296173044926</v>
      </c>
      <c r="Q18" s="29">
        <f>0-'Cas anuladas TEEM'!L21</f>
        <v>0</v>
      </c>
      <c r="R18" s="30">
        <f t="shared" si="7"/>
        <v>0</v>
      </c>
      <c r="S18" s="29">
        <f>1-'Cas anuladas TEEM'!M21</f>
        <v>1</v>
      </c>
      <c r="T18" s="30">
        <f t="shared" si="8"/>
        <v>0.0002376990729736154</v>
      </c>
      <c r="U18" s="29">
        <f>122-'Cas anuladas TEEM'!N21</f>
        <v>120</v>
      </c>
      <c r="V18" s="30">
        <f t="shared" si="9"/>
        <v>0.02852388875683385</v>
      </c>
      <c r="W18" s="38">
        <f t="shared" si="10"/>
        <v>4207</v>
      </c>
      <c r="X18" s="61">
        <f>'Cas anuladas TEEM'!O21</f>
        <v>158</v>
      </c>
      <c r="Y18" s="61">
        <v>0</v>
      </c>
      <c r="Z18" s="61">
        <v>0</v>
      </c>
      <c r="AA18" s="62"/>
    </row>
    <row r="19" spans="1:27" ht="12.75">
      <c r="A19" s="35">
        <v>12</v>
      </c>
      <c r="B19" s="36" t="s">
        <v>43</v>
      </c>
      <c r="C19" s="37">
        <v>632</v>
      </c>
      <c r="D19" s="30">
        <f t="shared" si="0"/>
        <v>0.22237860661505982</v>
      </c>
      <c r="E19" s="29">
        <v>648</v>
      </c>
      <c r="F19" s="30">
        <f t="shared" si="1"/>
        <v>0.22800844475721324</v>
      </c>
      <c r="G19" s="29">
        <v>400</v>
      </c>
      <c r="H19" s="30">
        <f t="shared" si="2"/>
        <v>0.14074595355383532</v>
      </c>
      <c r="I19" s="29">
        <v>1079</v>
      </c>
      <c r="J19" s="30">
        <f t="shared" si="3"/>
        <v>0.3796622097114708</v>
      </c>
      <c r="K19" s="29">
        <v>0</v>
      </c>
      <c r="L19" s="30">
        <f t="shared" si="4"/>
        <v>0</v>
      </c>
      <c r="M19" s="29">
        <v>9</v>
      </c>
      <c r="N19" s="30">
        <f t="shared" si="5"/>
        <v>0.0031667839549612948</v>
      </c>
      <c r="O19" s="29">
        <v>0</v>
      </c>
      <c r="P19" s="30">
        <f t="shared" si="6"/>
        <v>0</v>
      </c>
      <c r="Q19" s="29">
        <v>0</v>
      </c>
      <c r="R19" s="30">
        <f t="shared" si="7"/>
        <v>0</v>
      </c>
      <c r="S19" s="29">
        <v>1</v>
      </c>
      <c r="T19" s="30">
        <f t="shared" si="8"/>
        <v>0.0003518648838845883</v>
      </c>
      <c r="U19" s="29">
        <v>73</v>
      </c>
      <c r="V19" s="30">
        <f t="shared" si="9"/>
        <v>0.025686136523574946</v>
      </c>
      <c r="W19" s="38">
        <f t="shared" si="10"/>
        <v>2842</v>
      </c>
      <c r="X19" s="61">
        <v>0</v>
      </c>
      <c r="Y19" s="61">
        <v>0</v>
      </c>
      <c r="Z19" s="61">
        <v>0</v>
      </c>
      <c r="AA19" s="62"/>
    </row>
    <row r="20" spans="1:27" ht="12.75">
      <c r="A20" s="35">
        <v>13</v>
      </c>
      <c r="B20" s="36" t="s">
        <v>28</v>
      </c>
      <c r="C20" s="37">
        <v>50261</v>
      </c>
      <c r="D20" s="30">
        <f t="shared" si="0"/>
        <v>0.4388303909756055</v>
      </c>
      <c r="E20" s="29">
        <v>35221</v>
      </c>
      <c r="F20" s="30">
        <f t="shared" si="1"/>
        <v>0.3075156722021408</v>
      </c>
      <c r="G20" s="29">
        <v>18436</v>
      </c>
      <c r="H20" s="30">
        <f t="shared" si="2"/>
        <v>0.1609653028794943</v>
      </c>
      <c r="I20" s="29">
        <v>1465</v>
      </c>
      <c r="J20" s="30">
        <f t="shared" si="3"/>
        <v>0.012790961635846124</v>
      </c>
      <c r="K20" s="29">
        <v>1897</v>
      </c>
      <c r="L20" s="30">
        <f t="shared" si="4"/>
        <v>0.016562767387849897</v>
      </c>
      <c r="M20" s="29">
        <v>436</v>
      </c>
      <c r="N20" s="30">
        <f t="shared" si="5"/>
        <v>0.00380672987933714</v>
      </c>
      <c r="O20" s="29">
        <v>2955</v>
      </c>
      <c r="P20" s="30">
        <f t="shared" si="6"/>
        <v>0.0258001990675258</v>
      </c>
      <c r="Q20" s="29">
        <v>638</v>
      </c>
      <c r="R20" s="30">
        <f t="shared" si="7"/>
        <v>0.005570398309672237</v>
      </c>
      <c r="S20" s="29">
        <v>211</v>
      </c>
      <c r="T20" s="30">
        <f t="shared" si="8"/>
        <v>0.0018422477168351756</v>
      </c>
      <c r="U20" s="29">
        <v>3014</v>
      </c>
      <c r="V20" s="30">
        <f t="shared" si="9"/>
        <v>0.02631532994569298</v>
      </c>
      <c r="W20" s="38">
        <f t="shared" si="10"/>
        <v>114534</v>
      </c>
      <c r="X20" s="61">
        <v>0</v>
      </c>
      <c r="Y20" s="61">
        <v>0</v>
      </c>
      <c r="Z20" s="61">
        <v>0</v>
      </c>
      <c r="AA20" s="62"/>
    </row>
    <row r="21" spans="1:27" ht="12.75">
      <c r="A21" s="35">
        <v>14</v>
      </c>
      <c r="B21" s="36" t="s">
        <v>27</v>
      </c>
      <c r="C21" s="37">
        <v>7202</v>
      </c>
      <c r="D21" s="30">
        <f t="shared" si="0"/>
        <v>0.32143175935017404</v>
      </c>
      <c r="E21" s="29">
        <v>12689</v>
      </c>
      <c r="F21" s="30">
        <f t="shared" si="1"/>
        <v>0.5663215210211551</v>
      </c>
      <c r="G21" s="29">
        <v>1183</v>
      </c>
      <c r="H21" s="30">
        <f t="shared" si="2"/>
        <v>0.05279835758279033</v>
      </c>
      <c r="I21" s="29">
        <v>188</v>
      </c>
      <c r="J21" s="30">
        <f t="shared" si="3"/>
        <v>0.008390609658127287</v>
      </c>
      <c r="K21" s="29">
        <v>117</v>
      </c>
      <c r="L21" s="30">
        <f t="shared" si="4"/>
        <v>0.005221815585111131</v>
      </c>
      <c r="M21" s="29">
        <v>63</v>
      </c>
      <c r="N21" s="30">
        <f t="shared" si="5"/>
        <v>0.002811746853521378</v>
      </c>
      <c r="O21" s="29">
        <v>69</v>
      </c>
      <c r="P21" s="30">
        <f t="shared" si="6"/>
        <v>0.0030795322681424616</v>
      </c>
      <c r="Q21" s="29">
        <v>131</v>
      </c>
      <c r="R21" s="30">
        <f t="shared" si="7"/>
        <v>0.005846648219226993</v>
      </c>
      <c r="S21" s="29">
        <v>1</v>
      </c>
      <c r="T21" s="30">
        <f t="shared" si="8"/>
        <v>4.463090243684727E-05</v>
      </c>
      <c r="U21" s="29">
        <v>763</v>
      </c>
      <c r="V21" s="30">
        <f t="shared" si="9"/>
        <v>0.03405337855931447</v>
      </c>
      <c r="W21" s="38">
        <f t="shared" si="10"/>
        <v>22406</v>
      </c>
      <c r="X21" s="61">
        <v>0</v>
      </c>
      <c r="Y21" s="61">
        <v>0</v>
      </c>
      <c r="Z21" s="61">
        <v>0</v>
      </c>
      <c r="AA21" s="62"/>
    </row>
    <row r="22" spans="1:27" ht="15.75">
      <c r="A22" s="35">
        <v>15</v>
      </c>
      <c r="B22" s="45" t="s">
        <v>167</v>
      </c>
      <c r="C22" s="37">
        <f>1368-'Cas anuladas TEEM'!E22</f>
        <v>1292</v>
      </c>
      <c r="D22" s="30">
        <f t="shared" si="0"/>
        <v>0.16568350859194667</v>
      </c>
      <c r="E22" s="29">
        <f>2257-'Cas anuladas TEEM'!F22</f>
        <v>2159</v>
      </c>
      <c r="F22" s="30">
        <f t="shared" si="1"/>
        <v>0.2768658630418056</v>
      </c>
      <c r="G22" s="29">
        <f>1179-'Cas anuladas TEEM'!G22</f>
        <v>1140</v>
      </c>
      <c r="H22" s="30">
        <f t="shared" si="2"/>
        <v>0.14619133111054117</v>
      </c>
      <c r="I22" s="29">
        <f>134-'Cas anuladas TEEM'!H22</f>
        <v>130</v>
      </c>
      <c r="J22" s="30">
        <f t="shared" si="3"/>
        <v>0.016670941266991535</v>
      </c>
      <c r="K22" s="29">
        <f>345-'Cas anuladas TEEM'!I22</f>
        <v>339</v>
      </c>
      <c r="L22" s="30">
        <f t="shared" si="4"/>
        <v>0.043472685303924084</v>
      </c>
      <c r="M22" s="29">
        <f>30-'Cas anuladas TEEM'!J22</f>
        <v>29</v>
      </c>
      <c r="N22" s="30">
        <f t="shared" si="5"/>
        <v>0.0037189022826365735</v>
      </c>
      <c r="O22" s="29">
        <f>1214-'Cas anuladas TEEM'!K22</f>
        <v>1208</v>
      </c>
      <c r="P22" s="30">
        <f t="shared" si="6"/>
        <v>0.1549115157732752</v>
      </c>
      <c r="Q22" s="29">
        <f>1276-'Cas anuladas TEEM'!L22</f>
        <v>1176</v>
      </c>
      <c r="R22" s="30">
        <f t="shared" si="7"/>
        <v>0.15080789946140036</v>
      </c>
      <c r="S22" s="29">
        <f>33-'Cas anuladas TEEM'!M22</f>
        <v>33</v>
      </c>
      <c r="T22" s="30">
        <f t="shared" si="8"/>
        <v>0.004231854321620929</v>
      </c>
      <c r="U22" s="29">
        <f>300-'Cas anuladas TEEM'!N22</f>
        <v>292</v>
      </c>
      <c r="V22" s="30">
        <f t="shared" si="9"/>
        <v>0.03744549884585791</v>
      </c>
      <c r="W22" s="38">
        <f t="shared" si="10"/>
        <v>7798</v>
      </c>
      <c r="X22" s="61">
        <f>'Cas anuladas TEEM'!O22</f>
        <v>338</v>
      </c>
      <c r="Y22" s="61">
        <v>0</v>
      </c>
      <c r="Z22" s="61">
        <v>0</v>
      </c>
      <c r="AA22" s="62"/>
    </row>
    <row r="23" spans="1:27" ht="12.75">
      <c r="A23" s="35">
        <v>16</v>
      </c>
      <c r="B23" s="36" t="s">
        <v>44</v>
      </c>
      <c r="C23" s="37">
        <v>2010</v>
      </c>
      <c r="D23" s="30">
        <f t="shared" si="0"/>
        <v>0.25952227243382825</v>
      </c>
      <c r="E23" s="29">
        <v>3446</v>
      </c>
      <c r="F23" s="30">
        <f t="shared" si="1"/>
        <v>0.444932214331827</v>
      </c>
      <c r="G23" s="29">
        <v>1718</v>
      </c>
      <c r="H23" s="30">
        <f t="shared" si="2"/>
        <v>0.22182052937378954</v>
      </c>
      <c r="I23" s="29">
        <v>111</v>
      </c>
      <c r="J23" s="30">
        <f t="shared" si="3"/>
        <v>0.01433182698515171</v>
      </c>
      <c r="K23" s="29">
        <v>0</v>
      </c>
      <c r="L23" s="30">
        <f t="shared" si="4"/>
        <v>0</v>
      </c>
      <c r="M23" s="29">
        <v>9</v>
      </c>
      <c r="N23" s="30">
        <f t="shared" si="5"/>
        <v>0.0011620400258231117</v>
      </c>
      <c r="O23" s="29">
        <v>38</v>
      </c>
      <c r="P23" s="30">
        <f t="shared" si="6"/>
        <v>0.004906391220142027</v>
      </c>
      <c r="Q23" s="29">
        <v>237</v>
      </c>
      <c r="R23" s="30">
        <f t="shared" si="7"/>
        <v>0.030600387346675275</v>
      </c>
      <c r="S23" s="29">
        <v>0</v>
      </c>
      <c r="T23" s="30">
        <f t="shared" si="8"/>
        <v>0</v>
      </c>
      <c r="U23" s="29">
        <v>176</v>
      </c>
      <c r="V23" s="30">
        <f t="shared" si="9"/>
        <v>0.022724338282763074</v>
      </c>
      <c r="W23" s="38">
        <f t="shared" si="10"/>
        <v>7745</v>
      </c>
      <c r="X23" s="61">
        <v>0</v>
      </c>
      <c r="Y23" s="61">
        <v>0</v>
      </c>
      <c r="Z23" s="61">
        <v>0</v>
      </c>
      <c r="AA23" s="62"/>
    </row>
    <row r="24" spans="1:27" ht="12.75">
      <c r="A24" s="35">
        <v>17</v>
      </c>
      <c r="B24" s="36" t="s">
        <v>45</v>
      </c>
      <c r="C24" s="37">
        <v>164</v>
      </c>
      <c r="D24" s="30">
        <f t="shared" si="0"/>
        <v>0.06583701324769169</v>
      </c>
      <c r="E24" s="29">
        <v>1074</v>
      </c>
      <c r="F24" s="30">
        <f t="shared" si="1"/>
        <v>0.4311521477318346</v>
      </c>
      <c r="G24" s="29">
        <v>192</v>
      </c>
      <c r="H24" s="30">
        <f t="shared" si="2"/>
        <v>0.07707747892412686</v>
      </c>
      <c r="I24" s="29">
        <v>906</v>
      </c>
      <c r="J24" s="30">
        <f t="shared" si="3"/>
        <v>0.3637093536732236</v>
      </c>
      <c r="K24" s="29">
        <v>0</v>
      </c>
      <c r="L24" s="30">
        <f t="shared" si="4"/>
        <v>0</v>
      </c>
      <c r="M24" s="29">
        <v>0</v>
      </c>
      <c r="N24" s="30">
        <f t="shared" si="5"/>
        <v>0</v>
      </c>
      <c r="O24" s="29">
        <v>0</v>
      </c>
      <c r="P24" s="30">
        <f t="shared" si="6"/>
        <v>0</v>
      </c>
      <c r="Q24" s="29">
        <v>0</v>
      </c>
      <c r="R24" s="30">
        <f t="shared" si="7"/>
        <v>0</v>
      </c>
      <c r="S24" s="29">
        <v>1</v>
      </c>
      <c r="T24" s="30">
        <f t="shared" si="8"/>
        <v>0.0004014452027298274</v>
      </c>
      <c r="U24" s="29">
        <v>154</v>
      </c>
      <c r="V24" s="30">
        <f t="shared" si="9"/>
        <v>0.06182256122039342</v>
      </c>
      <c r="W24" s="38">
        <f t="shared" si="10"/>
        <v>2491</v>
      </c>
      <c r="X24" s="61">
        <v>0</v>
      </c>
      <c r="Y24" s="61">
        <v>0</v>
      </c>
      <c r="Z24" s="61">
        <v>0</v>
      </c>
      <c r="AA24" s="62"/>
    </row>
    <row r="25" spans="1:27" ht="15">
      <c r="A25" s="35">
        <v>18</v>
      </c>
      <c r="B25" s="36" t="s">
        <v>125</v>
      </c>
      <c r="C25" s="37">
        <f>2494-'Cas anuladas TEEM'!E23</f>
        <v>2440</v>
      </c>
      <c r="D25" s="30">
        <f t="shared" si="0"/>
        <v>0.2049214747627446</v>
      </c>
      <c r="E25" s="29">
        <f>5360-'Cas anuladas TEEM'!F23</f>
        <v>5195</v>
      </c>
      <c r="F25" s="30">
        <f t="shared" si="1"/>
        <v>0.4362979759805157</v>
      </c>
      <c r="G25" s="29">
        <f>2265-'Cas anuladas TEEM'!G23</f>
        <v>2181</v>
      </c>
      <c r="H25" s="30">
        <f t="shared" si="2"/>
        <v>0.18316956412194507</v>
      </c>
      <c r="I25" s="29">
        <f>472-'Cas anuladas TEEM'!H23</f>
        <v>471</v>
      </c>
      <c r="J25" s="30">
        <f t="shared" si="3"/>
        <v>0.03955656336608718</v>
      </c>
      <c r="K25" s="29">
        <f>0-'Cas anuladas TEEM'!I23</f>
        <v>0</v>
      </c>
      <c r="L25" s="30">
        <f t="shared" si="4"/>
        <v>0</v>
      </c>
      <c r="M25" s="29">
        <f>1201-'Cas anuladas TEEM'!J23</f>
        <v>1175</v>
      </c>
      <c r="N25" s="30">
        <f t="shared" si="5"/>
        <v>0.09868144788779709</v>
      </c>
      <c r="O25" s="29">
        <f>56-'Cas anuladas TEEM'!K23</f>
        <v>54</v>
      </c>
      <c r="P25" s="30">
        <f t="shared" si="6"/>
        <v>0.0045351473922902496</v>
      </c>
      <c r="Q25" s="29">
        <f>0-'Cas anuladas TEEM'!L23</f>
        <v>0</v>
      </c>
      <c r="R25" s="30">
        <f t="shared" si="7"/>
        <v>0</v>
      </c>
      <c r="S25" s="29">
        <f>4-'Cas anuladas TEEM'!M23</f>
        <v>3</v>
      </c>
      <c r="T25" s="30">
        <f t="shared" si="8"/>
        <v>0.0002519526329050139</v>
      </c>
      <c r="U25" s="29">
        <f>396-'Cas anuladas TEEM'!N23</f>
        <v>388</v>
      </c>
      <c r="V25" s="30">
        <f t="shared" si="9"/>
        <v>0.032585873855715125</v>
      </c>
      <c r="W25" s="38">
        <f t="shared" si="10"/>
        <v>11907</v>
      </c>
      <c r="X25" s="61">
        <f>'Cas anuladas TEEM'!O23</f>
        <v>341</v>
      </c>
      <c r="Y25" s="61">
        <v>0</v>
      </c>
      <c r="Z25" s="61">
        <v>0</v>
      </c>
      <c r="AA25" s="62"/>
    </row>
    <row r="26" spans="1:27" ht="15">
      <c r="A26" s="35">
        <v>19</v>
      </c>
      <c r="B26" s="36" t="s">
        <v>205</v>
      </c>
      <c r="C26" s="37">
        <f>980+'Cas anuladas TEPJF'!E9</f>
        <v>947</v>
      </c>
      <c r="D26" s="30">
        <f t="shared" si="0"/>
        <v>0.1464583977729663</v>
      </c>
      <c r="E26" s="29">
        <f>2709+'Cas anuladas TEPJF'!F9</f>
        <v>2532</v>
      </c>
      <c r="F26" s="30">
        <f t="shared" si="1"/>
        <v>0.3915867615218064</v>
      </c>
      <c r="G26" s="29">
        <f>2542+'Cas anuladas TEPJF'!G9</f>
        <v>2355</v>
      </c>
      <c r="H26" s="30">
        <f t="shared" si="2"/>
        <v>0.3642128054438602</v>
      </c>
      <c r="I26" s="29">
        <f>118+'Cas anuladas TEPJF'!H9</f>
        <v>116</v>
      </c>
      <c r="J26" s="30">
        <f t="shared" si="3"/>
        <v>0.017939993813795237</v>
      </c>
      <c r="K26" s="29">
        <f>321+'Cas anuladas TEPJF'!I9</f>
        <v>292</v>
      </c>
      <c r="L26" s="30">
        <f t="shared" si="4"/>
        <v>0.045159294772656976</v>
      </c>
      <c r="M26" s="29">
        <f>12+'Cas anuladas TEPJF'!J9</f>
        <v>10</v>
      </c>
      <c r="N26" s="30">
        <f t="shared" si="5"/>
        <v>0.001546551190844417</v>
      </c>
      <c r="O26" s="29">
        <f>0+'Cas anuladas TEPJF'!K9</f>
        <v>0</v>
      </c>
      <c r="P26" s="30">
        <f t="shared" si="6"/>
        <v>0</v>
      </c>
      <c r="Q26" s="29">
        <f>67+'Cas anuladas TEPJF'!L9</f>
        <v>65</v>
      </c>
      <c r="R26" s="30">
        <f t="shared" si="7"/>
        <v>0.01005258274048871</v>
      </c>
      <c r="S26" s="29">
        <f>0+'Cas anuladas TEPJF'!M9</f>
        <v>0</v>
      </c>
      <c r="T26" s="30">
        <f t="shared" si="8"/>
        <v>0</v>
      </c>
      <c r="U26" s="29">
        <f>160+'Cas anuladas TEPJF'!N9</f>
        <v>149</v>
      </c>
      <c r="V26" s="30">
        <f t="shared" si="9"/>
        <v>0.023043612743581812</v>
      </c>
      <c r="W26" s="38">
        <f t="shared" si="10"/>
        <v>6466</v>
      </c>
      <c r="X26" s="61">
        <v>0</v>
      </c>
      <c r="Y26" s="61">
        <v>0</v>
      </c>
      <c r="Z26" s="61">
        <f>-'Cas anuladas TEPJF'!O9</f>
        <v>443</v>
      </c>
      <c r="AA26" s="62"/>
    </row>
    <row r="27" spans="1:27" ht="15">
      <c r="A27" s="35">
        <v>20</v>
      </c>
      <c r="B27" s="36" t="s">
        <v>171</v>
      </c>
      <c r="C27" s="37">
        <f>27976-'Cas anuladas TEEM'!E24+'Cas anuladas TEPJF'!E10</f>
        <v>27976</v>
      </c>
      <c r="D27" s="30">
        <f t="shared" si="0"/>
        <v>0.40114711786636076</v>
      </c>
      <c r="E27" s="29">
        <f>26440-'Cas anuladas TEEM'!F24+'Cas anuladas TEPJF'!F10</f>
        <v>26440</v>
      </c>
      <c r="F27" s="30">
        <f t="shared" si="1"/>
        <v>0.379122454832234</v>
      </c>
      <c r="G27" s="29">
        <f>9753-'Cas anuladas TEEM'!G24+'Cas anuladas TEPJF'!G10</f>
        <v>9753</v>
      </c>
      <c r="H27" s="30">
        <f t="shared" si="2"/>
        <v>0.1398480068827072</v>
      </c>
      <c r="I27" s="29">
        <f>1502-'Cas anuladas TEEM'!H24+'Cas anuladas TEPJF'!H10</f>
        <v>1502</v>
      </c>
      <c r="J27" s="30">
        <f t="shared" si="3"/>
        <v>0.02153713794092343</v>
      </c>
      <c r="K27" s="29">
        <f>704-'Cas anuladas TEEM'!I24+'Cas anuladas TEPJF'!I10</f>
        <v>704</v>
      </c>
      <c r="L27" s="30">
        <f t="shared" si="4"/>
        <v>0.010094637223974764</v>
      </c>
      <c r="M27" s="29">
        <f>1002-'Cas anuladas TEEM'!J24+'Cas anuladas TEPJF'!J10</f>
        <v>1002</v>
      </c>
      <c r="N27" s="30">
        <f t="shared" si="5"/>
        <v>0.014367651276168627</v>
      </c>
      <c r="O27" s="29">
        <f>498-'Cas anuladas TEEM'!K24+'Cas anuladas TEPJF'!K10</f>
        <v>498</v>
      </c>
      <c r="P27" s="30">
        <f t="shared" si="6"/>
        <v>0.0071408087180957844</v>
      </c>
      <c r="Q27" s="29">
        <f>459-'Cas anuladas TEEM'!L24+'Cas anuladas TEPJF'!L10</f>
        <v>459</v>
      </c>
      <c r="R27" s="30">
        <f t="shared" si="7"/>
        <v>0.00658158875824491</v>
      </c>
      <c r="S27" s="29">
        <f>4-'Cas anuladas TEEM'!M24+'Cas anuladas TEPJF'!M10</f>
        <v>4</v>
      </c>
      <c r="T27" s="30">
        <f t="shared" si="8"/>
        <v>5.735589331803843E-05</v>
      </c>
      <c r="U27" s="29">
        <f>1402-'Cas anuladas TEEM'!N24+'Cas anuladas TEPJF'!N10</f>
        <v>1402</v>
      </c>
      <c r="V27" s="30">
        <f t="shared" si="9"/>
        <v>0.02010324060797247</v>
      </c>
      <c r="W27" s="38">
        <f t="shared" si="10"/>
        <v>69740</v>
      </c>
      <c r="X27" s="61">
        <f>'Cas anuladas TEEM'!O24</f>
        <v>371</v>
      </c>
      <c r="Y27" s="61">
        <f>'Cas anuladas TEPJF'!O10</f>
        <v>371</v>
      </c>
      <c r="Z27" s="61">
        <v>0</v>
      </c>
      <c r="AA27" s="62"/>
    </row>
    <row r="28" spans="1:27" ht="12.75">
      <c r="A28" s="35">
        <v>21</v>
      </c>
      <c r="B28" s="36" t="s">
        <v>46</v>
      </c>
      <c r="C28" s="37">
        <v>1392</v>
      </c>
      <c r="D28" s="30">
        <f t="shared" si="0"/>
        <v>0.14279852277390234</v>
      </c>
      <c r="E28" s="29">
        <v>2851</v>
      </c>
      <c r="F28" s="30">
        <f t="shared" si="1"/>
        <v>0.2924702503077554</v>
      </c>
      <c r="G28" s="29">
        <v>1563</v>
      </c>
      <c r="H28" s="30">
        <f t="shared" si="2"/>
        <v>0.16034058268362741</v>
      </c>
      <c r="I28" s="29">
        <v>3119</v>
      </c>
      <c r="J28" s="30">
        <f t="shared" si="3"/>
        <v>0.31996306934755847</v>
      </c>
      <c r="K28" s="29">
        <v>0</v>
      </c>
      <c r="L28" s="30">
        <f t="shared" si="4"/>
        <v>0</v>
      </c>
      <c r="M28" s="29">
        <v>24</v>
      </c>
      <c r="N28" s="30">
        <f t="shared" si="5"/>
        <v>0.0024620434961017644</v>
      </c>
      <c r="O28" s="29">
        <v>0</v>
      </c>
      <c r="P28" s="30">
        <f t="shared" si="6"/>
        <v>0</v>
      </c>
      <c r="Q28" s="29">
        <v>345</v>
      </c>
      <c r="R28" s="30">
        <f t="shared" si="7"/>
        <v>0.03539187525646286</v>
      </c>
      <c r="S28" s="29">
        <v>2</v>
      </c>
      <c r="T28" s="30">
        <f t="shared" si="8"/>
        <v>0.0002051702913418137</v>
      </c>
      <c r="U28" s="29">
        <v>452</v>
      </c>
      <c r="V28" s="30">
        <f t="shared" si="9"/>
        <v>0.046368485843249894</v>
      </c>
      <c r="W28" s="38">
        <f t="shared" si="10"/>
        <v>9748</v>
      </c>
      <c r="X28" s="61">
        <v>0</v>
      </c>
      <c r="Y28" s="61">
        <v>0</v>
      </c>
      <c r="Z28" s="61">
        <v>0</v>
      </c>
      <c r="AA28" s="62"/>
    </row>
    <row r="29" spans="1:27" ht="12.75">
      <c r="A29" s="35">
        <v>22</v>
      </c>
      <c r="B29" s="36" t="s">
        <v>47</v>
      </c>
      <c r="C29" s="37">
        <v>342</v>
      </c>
      <c r="D29" s="30">
        <f t="shared" si="0"/>
        <v>0.07649295459628719</v>
      </c>
      <c r="E29" s="29">
        <v>861</v>
      </c>
      <c r="F29" s="30">
        <f t="shared" si="1"/>
        <v>0.19257436815030193</v>
      </c>
      <c r="G29" s="29">
        <v>565</v>
      </c>
      <c r="H29" s="30">
        <f t="shared" si="2"/>
        <v>0.12636993961082532</v>
      </c>
      <c r="I29" s="29">
        <v>299</v>
      </c>
      <c r="J29" s="30">
        <f t="shared" si="3"/>
        <v>0.06687541936926862</v>
      </c>
      <c r="K29" s="29">
        <v>1341</v>
      </c>
      <c r="L29" s="30">
        <f t="shared" si="4"/>
        <v>0.2999329009170208</v>
      </c>
      <c r="M29" s="29">
        <v>17</v>
      </c>
      <c r="N29" s="30">
        <f t="shared" si="5"/>
        <v>0.0038022813688212928</v>
      </c>
      <c r="O29" s="29">
        <v>969</v>
      </c>
      <c r="P29" s="30">
        <f t="shared" si="6"/>
        <v>0.21673003802281368</v>
      </c>
      <c r="Q29" s="29">
        <v>0</v>
      </c>
      <c r="R29" s="30">
        <f t="shared" si="7"/>
        <v>0</v>
      </c>
      <c r="S29" s="29">
        <v>0</v>
      </c>
      <c r="T29" s="30">
        <f t="shared" si="8"/>
        <v>0</v>
      </c>
      <c r="U29" s="29">
        <v>77</v>
      </c>
      <c r="V29" s="30">
        <f t="shared" si="9"/>
        <v>0.01722209796466115</v>
      </c>
      <c r="W29" s="38">
        <f t="shared" si="10"/>
        <v>4471</v>
      </c>
      <c r="X29" s="61">
        <v>0</v>
      </c>
      <c r="Y29" s="61">
        <v>0</v>
      </c>
      <c r="Z29" s="61">
        <v>0</v>
      </c>
      <c r="AA29" s="62"/>
    </row>
    <row r="30" spans="1:27" ht="12.75">
      <c r="A30" s="35">
        <v>23</v>
      </c>
      <c r="B30" s="36" t="s">
        <v>48</v>
      </c>
      <c r="C30" s="37">
        <v>2108</v>
      </c>
      <c r="D30" s="30">
        <f t="shared" si="0"/>
        <v>0.1793126913916298</v>
      </c>
      <c r="E30" s="29">
        <v>1814</v>
      </c>
      <c r="F30" s="30">
        <f t="shared" si="1"/>
        <v>0.15430418509697175</v>
      </c>
      <c r="G30" s="29">
        <v>1004</v>
      </c>
      <c r="H30" s="30">
        <f t="shared" si="2"/>
        <v>0.08540319836679143</v>
      </c>
      <c r="I30" s="29">
        <v>557</v>
      </c>
      <c r="J30" s="30">
        <f t="shared" si="3"/>
        <v>0.047380061245321535</v>
      </c>
      <c r="K30" s="29">
        <v>4411</v>
      </c>
      <c r="L30" s="30">
        <f t="shared" si="4"/>
        <v>0.37521265736645115</v>
      </c>
      <c r="M30" s="29">
        <v>0</v>
      </c>
      <c r="N30" s="30">
        <f t="shared" si="5"/>
        <v>0</v>
      </c>
      <c r="O30" s="29">
        <v>1514</v>
      </c>
      <c r="P30" s="30">
        <f t="shared" si="6"/>
        <v>0.1287853011228309</v>
      </c>
      <c r="Q30" s="29">
        <v>0</v>
      </c>
      <c r="R30" s="30">
        <f t="shared" si="7"/>
        <v>0</v>
      </c>
      <c r="S30" s="29">
        <v>14</v>
      </c>
      <c r="T30" s="30">
        <f t="shared" si="8"/>
        <v>0.0011908812521265737</v>
      </c>
      <c r="U30" s="29">
        <v>334</v>
      </c>
      <c r="V30" s="30">
        <f t="shared" si="9"/>
        <v>0.02841102415787683</v>
      </c>
      <c r="W30" s="38">
        <f t="shared" si="10"/>
        <v>11756</v>
      </c>
      <c r="X30" s="61">
        <v>0</v>
      </c>
      <c r="Y30" s="61">
        <v>0</v>
      </c>
      <c r="Z30" s="61">
        <v>0</v>
      </c>
      <c r="AA30" s="62"/>
    </row>
    <row r="31" spans="1:27" ht="15">
      <c r="A31" s="35">
        <v>24</v>
      </c>
      <c r="B31" s="36" t="s">
        <v>158</v>
      </c>
      <c r="C31" s="37">
        <f>7141-'Cas anuladas TEEM'!E25</f>
        <v>7044</v>
      </c>
      <c r="D31" s="30">
        <f t="shared" si="0"/>
        <v>0.3338705090529908</v>
      </c>
      <c r="E31" s="29">
        <f>7757-'Cas anuladas TEEM'!F25</f>
        <v>7659</v>
      </c>
      <c r="F31" s="30">
        <f t="shared" si="1"/>
        <v>0.36302019148734477</v>
      </c>
      <c r="G31" s="29">
        <f>1445-'Cas anuladas TEEM'!G25</f>
        <v>1425</v>
      </c>
      <c r="H31" s="30">
        <f t="shared" si="2"/>
        <v>0.0675419471039909</v>
      </c>
      <c r="I31" s="29">
        <f>3291-'Cas anuladas TEEM'!H25</f>
        <v>3247</v>
      </c>
      <c r="J31" s="30">
        <f t="shared" si="3"/>
        <v>0.15390084368186557</v>
      </c>
      <c r="K31" s="29">
        <f>1020-'Cas anuladas TEEM'!I25</f>
        <v>984</v>
      </c>
      <c r="L31" s="30">
        <f t="shared" si="4"/>
        <v>0.04663949189496635</v>
      </c>
      <c r="M31" s="29">
        <f>202-'Cas anuladas TEEM'!J25</f>
        <v>202</v>
      </c>
      <c r="N31" s="30">
        <f t="shared" si="5"/>
        <v>0.009574367238600815</v>
      </c>
      <c r="O31" s="29">
        <f>113-'Cas anuladas TEEM'!K25</f>
        <v>112</v>
      </c>
      <c r="P31" s="30">
        <f t="shared" si="6"/>
        <v>0.0053085600530856005</v>
      </c>
      <c r="Q31" s="29">
        <f>0-'Cas anuladas TEEM'!L25</f>
        <v>0</v>
      </c>
      <c r="R31" s="30">
        <f t="shared" si="7"/>
        <v>0</v>
      </c>
      <c r="S31" s="29">
        <f>4-'Cas anuladas TEEM'!M25</f>
        <v>4</v>
      </c>
      <c r="T31" s="30">
        <f t="shared" si="8"/>
        <v>0.00018959143046734286</v>
      </c>
      <c r="U31" s="29">
        <f>428-'Cas anuladas TEEM'!N25</f>
        <v>421</v>
      </c>
      <c r="V31" s="30">
        <f t="shared" si="9"/>
        <v>0.019954498056687836</v>
      </c>
      <c r="W31" s="38">
        <f t="shared" si="10"/>
        <v>21098</v>
      </c>
      <c r="X31" s="61">
        <f>'Cas anuladas TEEM'!O25</f>
        <v>303</v>
      </c>
      <c r="Y31" s="61">
        <v>0</v>
      </c>
      <c r="Z31" s="61">
        <v>0</v>
      </c>
      <c r="AA31" s="62"/>
    </row>
    <row r="32" spans="1:27" ht="15">
      <c r="A32" s="35">
        <v>25</v>
      </c>
      <c r="B32" s="36" t="s">
        <v>192</v>
      </c>
      <c r="C32" s="37">
        <f>57530-'Cas anuladas TEEM'!E31</f>
        <v>56912</v>
      </c>
      <c r="D32" s="30">
        <f t="shared" si="0"/>
        <v>0.46124046714050687</v>
      </c>
      <c r="E32" s="29">
        <f>40751-'Cas anuladas TEEM'!F31</f>
        <v>40345</v>
      </c>
      <c r="F32" s="30">
        <f t="shared" si="1"/>
        <v>0.3269740414461581</v>
      </c>
      <c r="G32" s="29">
        <f>13590-'Cas anuladas TEEM'!G31</f>
        <v>13459</v>
      </c>
      <c r="H32" s="30">
        <f t="shared" si="2"/>
        <v>0.1090777946170242</v>
      </c>
      <c r="I32" s="29">
        <f>6363-'Cas anuladas TEEM'!H31</f>
        <v>6285</v>
      </c>
      <c r="J32" s="30">
        <f t="shared" si="3"/>
        <v>0.05093646921524609</v>
      </c>
      <c r="K32" s="29">
        <f>1160-'Cas anuladas TEEM'!I31</f>
        <v>1133</v>
      </c>
      <c r="L32" s="30">
        <f t="shared" si="4"/>
        <v>0.00918234202400538</v>
      </c>
      <c r="M32" s="29">
        <f>900-'Cas anuladas TEEM'!J31</f>
        <v>891</v>
      </c>
      <c r="N32" s="30">
        <f t="shared" si="5"/>
        <v>0.007221065086839183</v>
      </c>
      <c r="O32" s="29">
        <f>1388-'Cas anuladas TEEM'!K31</f>
        <v>1374</v>
      </c>
      <c r="P32" s="30">
        <f t="shared" si="6"/>
        <v>0.011135514511018</v>
      </c>
      <c r="Q32" s="29">
        <f>574-'Cas anuladas TEEM'!L31</f>
        <v>568</v>
      </c>
      <c r="R32" s="30">
        <f t="shared" si="7"/>
        <v>0.0046033276872330595</v>
      </c>
      <c r="S32" s="29">
        <f>30-'Cas anuladas TEEM'!M31</f>
        <v>29</v>
      </c>
      <c r="T32" s="30">
        <f t="shared" si="8"/>
        <v>0.0002350290544538006</v>
      </c>
      <c r="U32" s="29">
        <f>2409-'Cas anuladas TEEM'!N31</f>
        <v>2393</v>
      </c>
      <c r="V32" s="30">
        <f t="shared" si="9"/>
        <v>0.019393949217515336</v>
      </c>
      <c r="W32" s="38">
        <f t="shared" si="10"/>
        <v>123389</v>
      </c>
      <c r="X32" s="61">
        <f>'Cas anuladas TEEM'!O31</f>
        <v>1306</v>
      </c>
      <c r="Y32" s="61">
        <v>0</v>
      </c>
      <c r="Z32" s="61">
        <v>0</v>
      </c>
      <c r="AA32" s="62"/>
    </row>
    <row r="33" spans="1:27" ht="15">
      <c r="A33" s="35">
        <v>26</v>
      </c>
      <c r="B33" s="36" t="s">
        <v>162</v>
      </c>
      <c r="C33" s="37">
        <f>8071-'Cas anuladas TEEM'!E42+'Cas anuladas TEPJF'!E16</f>
        <v>7709</v>
      </c>
      <c r="D33" s="30">
        <f t="shared" si="0"/>
        <v>0.17489847312657394</v>
      </c>
      <c r="E33" s="29">
        <f>16955-'Cas anuladas TEEM'!F42+'Cas anuladas TEPJF'!F16</f>
        <v>16105</v>
      </c>
      <c r="F33" s="30">
        <f t="shared" si="1"/>
        <v>0.3653833064863761</v>
      </c>
      <c r="G33" s="29">
        <f>17202-'Cas anuladas TEEM'!G42+'Cas anuladas TEPJF'!G16</f>
        <v>16105</v>
      </c>
      <c r="H33" s="30">
        <f t="shared" si="2"/>
        <v>0.3653833064863761</v>
      </c>
      <c r="I33" s="29">
        <f>1520-'Cas anuladas TEEM'!H42+'Cas anuladas TEPJF'!H16</f>
        <v>1439</v>
      </c>
      <c r="J33" s="30">
        <f t="shared" si="3"/>
        <v>0.03264741248270073</v>
      </c>
      <c r="K33" s="29">
        <f>260-'Cas anuladas TEEM'!I42+'Cas anuladas TEPJF'!I16</f>
        <v>240</v>
      </c>
      <c r="L33" s="30">
        <f t="shared" si="4"/>
        <v>0.0054450166753635685</v>
      </c>
      <c r="M33" s="29">
        <f>0-'Cas anuladas TEEM'!J42+'Cas anuladas TEPJF'!J16</f>
        <v>0</v>
      </c>
      <c r="N33" s="30">
        <f t="shared" si="5"/>
        <v>0</v>
      </c>
      <c r="O33" s="29">
        <f>974-'Cas anuladas TEEM'!K42+'Cas anuladas TEPJF'!K16</f>
        <v>954</v>
      </c>
      <c r="P33" s="30">
        <f t="shared" si="6"/>
        <v>0.021643941284570183</v>
      </c>
      <c r="Q33" s="29">
        <f>200-'Cas anuladas TEEM'!L42+'Cas anuladas TEPJF'!L16</f>
        <v>190</v>
      </c>
      <c r="R33" s="30">
        <f t="shared" si="7"/>
        <v>0.004310638201329492</v>
      </c>
      <c r="S33" s="29">
        <f>252-'Cas anuladas TEEM'!M42+'Cas anuladas TEPJF'!M16</f>
        <v>252</v>
      </c>
      <c r="T33" s="30">
        <f t="shared" si="8"/>
        <v>0.005717267509131747</v>
      </c>
      <c r="U33" s="29">
        <f>1153-'Cas anuladas TEEM'!N42+'Cas anuladas TEPJF'!N16</f>
        <v>1083</v>
      </c>
      <c r="V33" s="30">
        <f t="shared" si="9"/>
        <v>0.024570637747578103</v>
      </c>
      <c r="W33" s="38">
        <f t="shared" si="10"/>
        <v>44077</v>
      </c>
      <c r="X33" s="61">
        <f>'Cas anuladas TEEM'!O42</f>
        <v>2243</v>
      </c>
      <c r="Y33" s="61">
        <f>'Cas anuladas TEPJF'!O11</f>
        <v>284</v>
      </c>
      <c r="Z33" s="61">
        <f>'Cas anuladas TEPJF'!O12+'Cas anuladas TEPJF'!O13-'Cas anuladas TEPJF'!O14-'Cas anuladas TEPJF'!O15</f>
        <v>551</v>
      </c>
      <c r="AA33" s="62"/>
    </row>
    <row r="34" spans="1:27" ht="12.75">
      <c r="A34" s="35">
        <v>27</v>
      </c>
      <c r="B34" s="36" t="s">
        <v>49</v>
      </c>
      <c r="C34" s="37">
        <v>2800</v>
      </c>
      <c r="D34" s="30">
        <f t="shared" si="0"/>
        <v>0.3179289201771318</v>
      </c>
      <c r="E34" s="29">
        <v>3149</v>
      </c>
      <c r="F34" s="30">
        <f t="shared" si="1"/>
        <v>0.3575564891563529</v>
      </c>
      <c r="G34" s="29">
        <v>1080</v>
      </c>
      <c r="H34" s="30">
        <f t="shared" si="2"/>
        <v>0.12262972635403656</v>
      </c>
      <c r="I34" s="29">
        <v>1277</v>
      </c>
      <c r="J34" s="30">
        <f t="shared" si="3"/>
        <v>0.1449982968093562</v>
      </c>
      <c r="K34" s="29">
        <v>0</v>
      </c>
      <c r="L34" s="30">
        <f t="shared" si="4"/>
        <v>0</v>
      </c>
      <c r="M34" s="29">
        <v>12</v>
      </c>
      <c r="N34" s="30">
        <f t="shared" si="5"/>
        <v>0.0013625525150448507</v>
      </c>
      <c r="O34" s="29">
        <v>58</v>
      </c>
      <c r="P34" s="30">
        <f t="shared" si="6"/>
        <v>0.006585670489383445</v>
      </c>
      <c r="Q34" s="29">
        <v>42</v>
      </c>
      <c r="R34" s="30">
        <f t="shared" si="7"/>
        <v>0.004768933802656978</v>
      </c>
      <c r="S34" s="29">
        <v>0</v>
      </c>
      <c r="T34" s="30">
        <f t="shared" si="8"/>
        <v>0</v>
      </c>
      <c r="U34" s="29">
        <v>389</v>
      </c>
      <c r="V34" s="30">
        <f t="shared" si="9"/>
        <v>0.04416941069603724</v>
      </c>
      <c r="W34" s="38">
        <f t="shared" si="10"/>
        <v>8807</v>
      </c>
      <c r="X34" s="61">
        <v>0</v>
      </c>
      <c r="Y34" s="61">
        <v>0</v>
      </c>
      <c r="Z34" s="61">
        <v>0</v>
      </c>
      <c r="AA34" s="62"/>
    </row>
    <row r="35" spans="1:27" ht="12.75">
      <c r="A35" s="35">
        <v>28</v>
      </c>
      <c r="B35" s="36" t="s">
        <v>50</v>
      </c>
      <c r="C35" s="37">
        <v>1004</v>
      </c>
      <c r="D35" s="30">
        <f t="shared" si="0"/>
        <v>0.4097959183673469</v>
      </c>
      <c r="E35" s="29">
        <v>987</v>
      </c>
      <c r="F35" s="30">
        <f t="shared" si="1"/>
        <v>0.40285714285714286</v>
      </c>
      <c r="G35" s="29">
        <v>231</v>
      </c>
      <c r="H35" s="30">
        <f t="shared" si="2"/>
        <v>0.09428571428571429</v>
      </c>
      <c r="I35" s="29">
        <v>128</v>
      </c>
      <c r="J35" s="30">
        <f t="shared" si="3"/>
        <v>0.052244897959183675</v>
      </c>
      <c r="K35" s="29">
        <v>28</v>
      </c>
      <c r="L35" s="30">
        <f t="shared" si="4"/>
        <v>0.011428571428571429</v>
      </c>
      <c r="M35" s="29">
        <v>3</v>
      </c>
      <c r="N35" s="30">
        <f t="shared" si="5"/>
        <v>0.0012244897959183673</v>
      </c>
      <c r="O35" s="29">
        <v>6</v>
      </c>
      <c r="P35" s="30">
        <f t="shared" si="6"/>
        <v>0.0024489795918367346</v>
      </c>
      <c r="Q35" s="29">
        <v>3</v>
      </c>
      <c r="R35" s="30">
        <f t="shared" si="7"/>
        <v>0.0012244897959183673</v>
      </c>
      <c r="S35" s="29">
        <v>0</v>
      </c>
      <c r="T35" s="30">
        <f t="shared" si="8"/>
        <v>0</v>
      </c>
      <c r="U35" s="29">
        <v>60</v>
      </c>
      <c r="V35" s="30">
        <f t="shared" si="9"/>
        <v>0.024489795918367346</v>
      </c>
      <c r="W35" s="38">
        <f t="shared" si="10"/>
        <v>2450</v>
      </c>
      <c r="X35" s="61">
        <v>0</v>
      </c>
      <c r="Y35" s="61">
        <v>0</v>
      </c>
      <c r="Z35" s="61">
        <v>0</v>
      </c>
      <c r="AA35" s="62"/>
    </row>
    <row r="36" spans="1:27" ht="12.75">
      <c r="A36" s="35">
        <v>29</v>
      </c>
      <c r="B36" s="36" t="s">
        <v>51</v>
      </c>
      <c r="C36" s="37">
        <v>368</v>
      </c>
      <c r="D36" s="30">
        <f t="shared" si="0"/>
        <v>0.04783569478746913</v>
      </c>
      <c r="E36" s="29">
        <v>2933</v>
      </c>
      <c r="F36" s="30">
        <f t="shared" si="1"/>
        <v>0.3812556869881711</v>
      </c>
      <c r="G36" s="29">
        <v>1808</v>
      </c>
      <c r="H36" s="30">
        <f t="shared" si="2"/>
        <v>0.23501884830365266</v>
      </c>
      <c r="I36" s="29">
        <v>2329</v>
      </c>
      <c r="J36" s="30">
        <f t="shared" si="3"/>
        <v>0.3027427531522163</v>
      </c>
      <c r="K36" s="29">
        <v>0</v>
      </c>
      <c r="L36" s="30">
        <f t="shared" si="4"/>
        <v>0</v>
      </c>
      <c r="M36" s="29">
        <v>0</v>
      </c>
      <c r="N36" s="30">
        <f t="shared" si="5"/>
        <v>0</v>
      </c>
      <c r="O36" s="29">
        <v>103</v>
      </c>
      <c r="P36" s="30">
        <f t="shared" si="6"/>
        <v>0.01338879500844924</v>
      </c>
      <c r="Q36" s="29">
        <v>48</v>
      </c>
      <c r="R36" s="30">
        <f t="shared" si="7"/>
        <v>0.006239438450539451</v>
      </c>
      <c r="S36" s="29">
        <v>0</v>
      </c>
      <c r="T36" s="30">
        <f t="shared" si="8"/>
        <v>0</v>
      </c>
      <c r="U36" s="29">
        <v>104</v>
      </c>
      <c r="V36" s="30">
        <f t="shared" si="9"/>
        <v>0.013518783309502146</v>
      </c>
      <c r="W36" s="38">
        <f t="shared" si="10"/>
        <v>7693</v>
      </c>
      <c r="X36" s="61">
        <v>0</v>
      </c>
      <c r="Y36" s="61">
        <v>0</v>
      </c>
      <c r="Z36" s="61">
        <v>0</v>
      </c>
      <c r="AA36" s="62"/>
    </row>
    <row r="37" spans="1:27" ht="12.75">
      <c r="A37" s="35">
        <v>30</v>
      </c>
      <c r="B37" s="36" t="s">
        <v>52</v>
      </c>
      <c r="C37" s="37">
        <v>2356</v>
      </c>
      <c r="D37" s="30">
        <f t="shared" si="0"/>
        <v>0.09630083793173921</v>
      </c>
      <c r="E37" s="29">
        <v>8939</v>
      </c>
      <c r="F37" s="30">
        <f t="shared" si="1"/>
        <v>0.365379113018598</v>
      </c>
      <c r="G37" s="29">
        <v>11068</v>
      </c>
      <c r="H37" s="30">
        <f t="shared" si="2"/>
        <v>0.4524013897404455</v>
      </c>
      <c r="I37" s="29">
        <v>598</v>
      </c>
      <c r="J37" s="30">
        <f t="shared" si="3"/>
        <v>0.024443081953811566</v>
      </c>
      <c r="K37" s="29">
        <v>232</v>
      </c>
      <c r="L37" s="30">
        <f t="shared" si="4"/>
        <v>0.009482934804823217</v>
      </c>
      <c r="M37" s="29">
        <v>12</v>
      </c>
      <c r="N37" s="30">
        <f t="shared" si="5"/>
        <v>0.0004904966278356836</v>
      </c>
      <c r="O37" s="29">
        <v>506</v>
      </c>
      <c r="P37" s="30">
        <f t="shared" si="6"/>
        <v>0.020682607807071325</v>
      </c>
      <c r="Q37" s="29">
        <v>128</v>
      </c>
      <c r="R37" s="30">
        <f t="shared" si="7"/>
        <v>0.005231964030247292</v>
      </c>
      <c r="S37" s="29">
        <v>6</v>
      </c>
      <c r="T37" s="30">
        <f t="shared" si="8"/>
        <v>0.0002452483139178418</v>
      </c>
      <c r="U37" s="29">
        <v>620</v>
      </c>
      <c r="V37" s="30">
        <f t="shared" si="9"/>
        <v>0.02534232577151032</v>
      </c>
      <c r="W37" s="38">
        <f t="shared" si="10"/>
        <v>24465</v>
      </c>
      <c r="X37" s="61">
        <v>0</v>
      </c>
      <c r="Y37" s="61">
        <v>0</v>
      </c>
      <c r="Z37" s="61">
        <v>0</v>
      </c>
      <c r="AA37" s="62"/>
    </row>
    <row r="38" spans="1:27" ht="12.75">
      <c r="A38" s="35">
        <v>31</v>
      </c>
      <c r="B38" s="36" t="s">
        <v>53</v>
      </c>
      <c r="C38" s="37">
        <v>548</v>
      </c>
      <c r="D38" s="30">
        <f t="shared" si="0"/>
        <v>0.08204821081000149</v>
      </c>
      <c r="E38" s="29">
        <v>929</v>
      </c>
      <c r="F38" s="30">
        <f t="shared" si="1"/>
        <v>0.13909267854469232</v>
      </c>
      <c r="G38" s="29">
        <v>1262</v>
      </c>
      <c r="H38" s="30">
        <f t="shared" si="2"/>
        <v>0.18895044168288666</v>
      </c>
      <c r="I38" s="29">
        <v>1903</v>
      </c>
      <c r="J38" s="30">
        <f t="shared" si="3"/>
        <v>0.2849228926486001</v>
      </c>
      <c r="K38" s="29">
        <v>1813</v>
      </c>
      <c r="L38" s="30">
        <f t="shared" si="4"/>
        <v>0.27144782153016916</v>
      </c>
      <c r="M38" s="29">
        <v>0</v>
      </c>
      <c r="N38" s="30">
        <f t="shared" si="5"/>
        <v>0</v>
      </c>
      <c r="O38" s="29">
        <v>126</v>
      </c>
      <c r="P38" s="30">
        <f t="shared" si="6"/>
        <v>0.018865099565803265</v>
      </c>
      <c r="Q38" s="29">
        <v>0</v>
      </c>
      <c r="R38" s="30">
        <f t="shared" si="7"/>
        <v>0</v>
      </c>
      <c r="S38" s="29">
        <v>0</v>
      </c>
      <c r="T38" s="30">
        <f t="shared" si="8"/>
        <v>0</v>
      </c>
      <c r="U38" s="29">
        <v>98</v>
      </c>
      <c r="V38" s="30">
        <f t="shared" si="9"/>
        <v>0.014672855217846984</v>
      </c>
      <c r="W38" s="38">
        <f t="shared" si="10"/>
        <v>6679</v>
      </c>
      <c r="X38" s="61">
        <v>0</v>
      </c>
      <c r="Y38" s="61">
        <v>0</v>
      </c>
      <c r="Z38" s="61">
        <v>0</v>
      </c>
      <c r="AA38" s="62"/>
    </row>
    <row r="39" spans="1:27" ht="12.75">
      <c r="A39" s="35">
        <v>32</v>
      </c>
      <c r="B39" s="36" t="s">
        <v>54</v>
      </c>
      <c r="C39" s="37">
        <v>7029</v>
      </c>
      <c r="D39" s="30">
        <f t="shared" si="0"/>
        <v>0.08512880136613014</v>
      </c>
      <c r="E39" s="29">
        <v>35771</v>
      </c>
      <c r="F39" s="30">
        <f t="shared" si="1"/>
        <v>0.43322554469595126</v>
      </c>
      <c r="G39" s="29">
        <v>14218</v>
      </c>
      <c r="H39" s="30">
        <f t="shared" si="2"/>
        <v>0.17219537598856713</v>
      </c>
      <c r="I39" s="29">
        <v>1578</v>
      </c>
      <c r="J39" s="30">
        <f t="shared" si="3"/>
        <v>0.019111288740326273</v>
      </c>
      <c r="K39" s="29">
        <v>18477</v>
      </c>
      <c r="L39" s="30">
        <f t="shared" si="4"/>
        <v>0.223776477854885</v>
      </c>
      <c r="M39" s="29">
        <v>651</v>
      </c>
      <c r="N39" s="30">
        <f t="shared" si="5"/>
        <v>0.007884314936598481</v>
      </c>
      <c r="O39" s="29">
        <v>567</v>
      </c>
      <c r="P39" s="30">
        <f t="shared" si="6"/>
        <v>0.006866983977037387</v>
      </c>
      <c r="Q39" s="29">
        <v>826</v>
      </c>
      <c r="R39" s="30">
        <f t="shared" si="7"/>
        <v>0.010003754435684095</v>
      </c>
      <c r="S39" s="29">
        <v>615</v>
      </c>
      <c r="T39" s="30">
        <f t="shared" si="8"/>
        <v>0.007448315953929441</v>
      </c>
      <c r="U39" s="29">
        <v>2837</v>
      </c>
      <c r="V39" s="30">
        <f t="shared" si="9"/>
        <v>0.03435914205089077</v>
      </c>
      <c r="W39" s="38">
        <f t="shared" si="10"/>
        <v>82569</v>
      </c>
      <c r="X39" s="61">
        <v>0</v>
      </c>
      <c r="Y39" s="61">
        <v>0</v>
      </c>
      <c r="Z39" s="61">
        <v>0</v>
      </c>
      <c r="AA39" s="62"/>
    </row>
    <row r="40" spans="1:27" ht="12.75">
      <c r="A40" s="35">
        <v>33</v>
      </c>
      <c r="B40" s="36" t="s">
        <v>55</v>
      </c>
      <c r="C40" s="37">
        <v>426</v>
      </c>
      <c r="D40" s="30">
        <f t="shared" si="0"/>
        <v>0.042345924453280316</v>
      </c>
      <c r="E40" s="29">
        <v>4182</v>
      </c>
      <c r="F40" s="30">
        <f t="shared" si="1"/>
        <v>0.41570576540755466</v>
      </c>
      <c r="G40" s="29">
        <v>4821</v>
      </c>
      <c r="H40" s="30">
        <f t="shared" si="2"/>
        <v>0.47922465208747517</v>
      </c>
      <c r="I40" s="29">
        <v>69</v>
      </c>
      <c r="J40" s="30">
        <f t="shared" si="3"/>
        <v>0.006858846918489065</v>
      </c>
      <c r="K40" s="29">
        <v>0</v>
      </c>
      <c r="L40" s="30">
        <f t="shared" si="4"/>
        <v>0</v>
      </c>
      <c r="M40" s="29">
        <v>0</v>
      </c>
      <c r="N40" s="30">
        <f t="shared" si="5"/>
        <v>0</v>
      </c>
      <c r="O40" s="29">
        <v>19</v>
      </c>
      <c r="P40" s="30">
        <f t="shared" si="6"/>
        <v>0.0018886679920477136</v>
      </c>
      <c r="Q40" s="29">
        <v>0</v>
      </c>
      <c r="R40" s="30">
        <f t="shared" si="7"/>
        <v>0</v>
      </c>
      <c r="S40" s="29">
        <v>1</v>
      </c>
      <c r="T40" s="30">
        <f t="shared" si="8"/>
        <v>9.940357852882704E-05</v>
      </c>
      <c r="U40" s="29">
        <v>542</v>
      </c>
      <c r="V40" s="30">
        <f t="shared" si="9"/>
        <v>0.05387673956262425</v>
      </c>
      <c r="W40" s="38">
        <f t="shared" si="10"/>
        <v>10060</v>
      </c>
      <c r="X40" s="61">
        <v>0</v>
      </c>
      <c r="Y40" s="61">
        <v>0</v>
      </c>
      <c r="Z40" s="61">
        <v>0</v>
      </c>
      <c r="AA40" s="62"/>
    </row>
    <row r="41" spans="1:27" ht="12.75">
      <c r="A41" s="35">
        <v>34</v>
      </c>
      <c r="B41" s="36" t="s">
        <v>31</v>
      </c>
      <c r="C41" s="37">
        <f>109117+'Cas anuladas TEPJF'!E81</f>
        <v>105299</v>
      </c>
      <c r="D41" s="30">
        <f t="shared" si="0"/>
        <v>0.30111582631771594</v>
      </c>
      <c r="E41" s="29">
        <f>120626+'Cas anuladas TEPJF'!F81</f>
        <v>116244</v>
      </c>
      <c r="F41" s="30">
        <f t="shared" si="1"/>
        <v>0.3324144399707174</v>
      </c>
      <c r="G41" s="29">
        <f>107193+'Cas anuladas TEPJF'!G81</f>
        <v>103403</v>
      </c>
      <c r="H41" s="30">
        <f t="shared" si="2"/>
        <v>0.29569397419472915</v>
      </c>
      <c r="I41" s="29">
        <f>6808+'Cas anuladas TEPJF'!H81</f>
        <v>6540</v>
      </c>
      <c r="J41" s="30">
        <f t="shared" si="3"/>
        <v>0.018701958272327963</v>
      </c>
      <c r="K41" s="29">
        <f>1972+'Cas anuladas TEPJF'!I81</f>
        <v>1908</v>
      </c>
      <c r="L41" s="30">
        <f t="shared" si="4"/>
        <v>0.005456167642752563</v>
      </c>
      <c r="M41" s="29">
        <f>2118+'Cas anuladas TEPJF'!J81</f>
        <v>2026</v>
      </c>
      <c r="N41" s="30">
        <f t="shared" si="5"/>
        <v>0.0057936035871156664</v>
      </c>
      <c r="O41" s="29">
        <f>1838+'Cas anuladas TEPJF'!K81</f>
        <v>1777</v>
      </c>
      <c r="P41" s="30">
        <f t="shared" si="6"/>
        <v>0.005081556551976574</v>
      </c>
      <c r="Q41" s="29">
        <f>5114+'Cas anuladas TEPJF'!L81</f>
        <v>4984</v>
      </c>
      <c r="R41" s="30">
        <f t="shared" si="7"/>
        <v>0.014252379209370425</v>
      </c>
      <c r="S41" s="29">
        <f>42+'Cas anuladas TEPJF'!M81</f>
        <v>42</v>
      </c>
      <c r="T41" s="30">
        <f t="shared" si="8"/>
        <v>0.00012010431918008785</v>
      </c>
      <c r="U41" s="29">
        <f>7717+'Cas anuladas TEPJF'!N81</f>
        <v>7473</v>
      </c>
      <c r="V41" s="30">
        <f t="shared" si="9"/>
        <v>0.0213699899341142</v>
      </c>
      <c r="W41" s="38">
        <f t="shared" si="10"/>
        <v>349696</v>
      </c>
      <c r="X41" s="61">
        <v>0</v>
      </c>
      <c r="Y41" s="61">
        <v>0</v>
      </c>
      <c r="Z41" s="61">
        <f>-'Cas anuladas TEPJF'!O81</f>
        <v>12849</v>
      </c>
      <c r="AA41" s="62"/>
    </row>
    <row r="42" spans="1:27" ht="12.75">
      <c r="A42" s="35">
        <v>35</v>
      </c>
      <c r="B42" s="36" t="s">
        <v>56</v>
      </c>
      <c r="C42" s="37">
        <v>251</v>
      </c>
      <c r="D42" s="30">
        <f t="shared" si="0"/>
        <v>0.08748692924363889</v>
      </c>
      <c r="E42" s="29">
        <v>1277</v>
      </c>
      <c r="F42" s="30">
        <f t="shared" si="1"/>
        <v>0.44510282328337397</v>
      </c>
      <c r="G42" s="29">
        <v>1165</v>
      </c>
      <c r="H42" s="30">
        <f t="shared" si="2"/>
        <v>0.40606483095155105</v>
      </c>
      <c r="I42" s="29">
        <v>27</v>
      </c>
      <c r="J42" s="30">
        <f t="shared" si="3"/>
        <v>0.009410944579993029</v>
      </c>
      <c r="K42" s="29">
        <v>0</v>
      </c>
      <c r="L42" s="30">
        <f t="shared" si="4"/>
        <v>0</v>
      </c>
      <c r="M42" s="29">
        <v>19</v>
      </c>
      <c r="N42" s="30">
        <f t="shared" si="5"/>
        <v>0.006622516556291391</v>
      </c>
      <c r="O42" s="29">
        <v>0</v>
      </c>
      <c r="P42" s="30">
        <f t="shared" si="6"/>
        <v>0</v>
      </c>
      <c r="Q42" s="29">
        <v>22</v>
      </c>
      <c r="R42" s="30">
        <f t="shared" si="7"/>
        <v>0.007668177065179505</v>
      </c>
      <c r="S42" s="29">
        <v>4</v>
      </c>
      <c r="T42" s="30">
        <f t="shared" si="8"/>
        <v>0.0013942140118508191</v>
      </c>
      <c r="U42" s="29">
        <v>104</v>
      </c>
      <c r="V42" s="30">
        <f t="shared" si="9"/>
        <v>0.0362495643081213</v>
      </c>
      <c r="W42" s="38">
        <f t="shared" si="10"/>
        <v>2869</v>
      </c>
      <c r="X42" s="61">
        <v>0</v>
      </c>
      <c r="Y42" s="61">
        <v>0</v>
      </c>
      <c r="Z42" s="61">
        <v>0</v>
      </c>
      <c r="AA42" s="62"/>
    </row>
    <row r="43" spans="1:27" ht="12.75">
      <c r="A43" s="35">
        <v>36</v>
      </c>
      <c r="B43" s="36" t="s">
        <v>57</v>
      </c>
      <c r="C43" s="37">
        <v>6983</v>
      </c>
      <c r="D43" s="30">
        <f t="shared" si="0"/>
        <v>0.46475873544093177</v>
      </c>
      <c r="E43" s="29">
        <v>6289</v>
      </c>
      <c r="F43" s="30">
        <f t="shared" si="1"/>
        <v>0.41856905158069885</v>
      </c>
      <c r="G43" s="29">
        <v>701</v>
      </c>
      <c r="H43" s="30">
        <f t="shared" si="2"/>
        <v>0.04665557404326123</v>
      </c>
      <c r="I43" s="29">
        <v>252</v>
      </c>
      <c r="J43" s="30">
        <f t="shared" si="3"/>
        <v>0.0167720465890183</v>
      </c>
      <c r="K43" s="29">
        <v>322</v>
      </c>
      <c r="L43" s="30">
        <f t="shared" si="4"/>
        <v>0.021430948419301165</v>
      </c>
      <c r="M43" s="29">
        <v>0</v>
      </c>
      <c r="N43" s="30">
        <f t="shared" si="5"/>
        <v>0</v>
      </c>
      <c r="O43" s="29">
        <v>122</v>
      </c>
      <c r="P43" s="30">
        <f t="shared" si="6"/>
        <v>0.008119800332778702</v>
      </c>
      <c r="Q43" s="29">
        <v>0</v>
      </c>
      <c r="R43" s="30">
        <f t="shared" si="7"/>
        <v>0</v>
      </c>
      <c r="S43" s="29">
        <v>1</v>
      </c>
      <c r="T43" s="30">
        <f t="shared" si="8"/>
        <v>6.65557404326123E-05</v>
      </c>
      <c r="U43" s="29">
        <v>355</v>
      </c>
      <c r="V43" s="30">
        <f t="shared" si="9"/>
        <v>0.023627287853577372</v>
      </c>
      <c r="W43" s="38">
        <f t="shared" si="10"/>
        <v>15025</v>
      </c>
      <c r="X43" s="61">
        <v>0</v>
      </c>
      <c r="Y43" s="61">
        <v>0</v>
      </c>
      <c r="Z43" s="61">
        <v>0</v>
      </c>
      <c r="AA43" s="62"/>
    </row>
    <row r="44" spans="1:27" ht="12.75">
      <c r="A44" s="35">
        <v>37</v>
      </c>
      <c r="B44" s="36" t="s">
        <v>58</v>
      </c>
      <c r="C44" s="37">
        <v>850</v>
      </c>
      <c r="D44" s="30">
        <f t="shared" si="0"/>
        <v>0.0700280112044818</v>
      </c>
      <c r="E44" s="29">
        <v>5007</v>
      </c>
      <c r="F44" s="30">
        <f t="shared" si="1"/>
        <v>0.4125061789421651</v>
      </c>
      <c r="G44" s="29">
        <v>5843</v>
      </c>
      <c r="H44" s="30">
        <f t="shared" si="2"/>
        <v>0.4813807876091613</v>
      </c>
      <c r="I44" s="29">
        <v>56</v>
      </c>
      <c r="J44" s="30">
        <f t="shared" si="3"/>
        <v>0.00461361014994233</v>
      </c>
      <c r="K44" s="29">
        <v>86</v>
      </c>
      <c r="L44" s="30">
        <f t="shared" si="4"/>
        <v>0.007085187015982864</v>
      </c>
      <c r="M44" s="29">
        <v>0</v>
      </c>
      <c r="N44" s="30">
        <f t="shared" si="5"/>
        <v>0</v>
      </c>
      <c r="O44" s="29">
        <v>24</v>
      </c>
      <c r="P44" s="30">
        <f t="shared" si="6"/>
        <v>0.001977261492832427</v>
      </c>
      <c r="Q44" s="29">
        <v>0</v>
      </c>
      <c r="R44" s="30">
        <f t="shared" si="7"/>
        <v>0</v>
      </c>
      <c r="S44" s="29">
        <v>1</v>
      </c>
      <c r="T44" s="30">
        <f t="shared" si="8"/>
        <v>8.238589553468446E-05</v>
      </c>
      <c r="U44" s="29">
        <v>271</v>
      </c>
      <c r="V44" s="30">
        <f t="shared" si="9"/>
        <v>0.02232657768989949</v>
      </c>
      <c r="W44" s="38">
        <f t="shared" si="10"/>
        <v>12138</v>
      </c>
      <c r="X44" s="61">
        <v>0</v>
      </c>
      <c r="Y44" s="61">
        <v>0</v>
      </c>
      <c r="Z44" s="61">
        <v>0</v>
      </c>
      <c r="AA44" s="62"/>
    </row>
    <row r="45" spans="1:27" ht="15">
      <c r="A45" s="35">
        <v>38</v>
      </c>
      <c r="B45" s="36" t="s">
        <v>174</v>
      </c>
      <c r="C45" s="37">
        <f>15342-'Cas anuladas TEEM'!E45</f>
        <v>15197</v>
      </c>
      <c r="D45" s="30">
        <f t="shared" si="0"/>
        <v>0.2801755129883299</v>
      </c>
      <c r="E45" s="29">
        <f>18397-'Cas anuladas TEEM'!F45</f>
        <v>18283</v>
      </c>
      <c r="F45" s="30">
        <f t="shared" si="1"/>
        <v>0.3370697442893752</v>
      </c>
      <c r="G45" s="29">
        <f>15424-'Cas anuladas TEEM'!G45</f>
        <v>15274</v>
      </c>
      <c r="H45" s="30">
        <f t="shared" si="2"/>
        <v>0.2815951033351155</v>
      </c>
      <c r="I45" s="29">
        <f>1165-'Cas anuladas TEEM'!H45</f>
        <v>1159</v>
      </c>
      <c r="J45" s="30">
        <f t="shared" si="3"/>
        <v>0.021367600154864403</v>
      </c>
      <c r="K45" s="29">
        <f>1498-'Cas anuladas TEEM'!I45</f>
        <v>1488</v>
      </c>
      <c r="L45" s="30">
        <f t="shared" si="4"/>
        <v>0.02743312254567578</v>
      </c>
      <c r="M45" s="29">
        <f>219-'Cas anuladas TEEM'!J45</f>
        <v>219</v>
      </c>
      <c r="N45" s="30">
        <f t="shared" si="5"/>
        <v>0.004037536181117605</v>
      </c>
      <c r="O45" s="29">
        <f>328-'Cas anuladas TEEM'!K45</f>
        <v>324</v>
      </c>
      <c r="P45" s="30">
        <f t="shared" si="6"/>
        <v>0.005973341199461662</v>
      </c>
      <c r="Q45" s="29">
        <f>810-'Cas anuladas TEEM'!L45</f>
        <v>807</v>
      </c>
      <c r="R45" s="30">
        <f t="shared" si="7"/>
        <v>0.014878044283844325</v>
      </c>
      <c r="S45" s="29">
        <f>10-'Cas anuladas TEEM'!M45</f>
        <v>10</v>
      </c>
      <c r="T45" s="30">
        <f t="shared" si="8"/>
        <v>0.000184362382699434</v>
      </c>
      <c r="U45" s="29">
        <f>1500-'Cas anuladas TEEM'!N45</f>
        <v>1480</v>
      </c>
      <c r="V45" s="30">
        <f t="shared" si="9"/>
        <v>0.027285632639516232</v>
      </c>
      <c r="W45" s="38">
        <f t="shared" si="10"/>
        <v>54241</v>
      </c>
      <c r="X45" s="61">
        <f>'Cas anuladas TEEM'!O45</f>
        <v>452</v>
      </c>
      <c r="Y45" s="61">
        <v>0</v>
      </c>
      <c r="Z45" s="61">
        <v>0</v>
      </c>
      <c r="AA45" s="62"/>
    </row>
    <row r="46" spans="1:27" ht="12.75">
      <c r="A46" s="35">
        <v>39</v>
      </c>
      <c r="B46" s="36" t="s">
        <v>59</v>
      </c>
      <c r="C46" s="37">
        <v>126</v>
      </c>
      <c r="D46" s="30">
        <f t="shared" si="0"/>
        <v>0.03564356435643564</v>
      </c>
      <c r="E46" s="29">
        <v>683</v>
      </c>
      <c r="F46" s="30">
        <f t="shared" si="1"/>
        <v>0.1932107496463932</v>
      </c>
      <c r="G46" s="29">
        <v>558</v>
      </c>
      <c r="H46" s="30">
        <f t="shared" si="2"/>
        <v>0.15785007072135784</v>
      </c>
      <c r="I46" s="29">
        <v>522</v>
      </c>
      <c r="J46" s="30">
        <f t="shared" si="3"/>
        <v>0.14766619519094767</v>
      </c>
      <c r="K46" s="29">
        <v>631</v>
      </c>
      <c r="L46" s="30">
        <f t="shared" si="4"/>
        <v>0.1785007072135785</v>
      </c>
      <c r="M46" s="29">
        <v>765</v>
      </c>
      <c r="N46" s="30">
        <f t="shared" si="5"/>
        <v>0.2164073550212164</v>
      </c>
      <c r="O46" s="29">
        <v>194</v>
      </c>
      <c r="P46" s="30">
        <f t="shared" si="6"/>
        <v>0.05487977369165488</v>
      </c>
      <c r="Q46" s="29">
        <v>0</v>
      </c>
      <c r="R46" s="30">
        <f t="shared" si="7"/>
        <v>0</v>
      </c>
      <c r="S46" s="29">
        <v>0</v>
      </c>
      <c r="T46" s="30">
        <f t="shared" si="8"/>
        <v>0</v>
      </c>
      <c r="U46" s="29">
        <v>56</v>
      </c>
      <c r="V46" s="30">
        <f t="shared" si="9"/>
        <v>0.015841584158415842</v>
      </c>
      <c r="W46" s="38">
        <f t="shared" si="10"/>
        <v>3535</v>
      </c>
      <c r="X46" s="61">
        <v>0</v>
      </c>
      <c r="Y46" s="61">
        <v>0</v>
      </c>
      <c r="Z46" s="61">
        <v>0</v>
      </c>
      <c r="AA46" s="62"/>
    </row>
    <row r="47" spans="1:27" ht="15">
      <c r="A47" s="35">
        <v>40</v>
      </c>
      <c r="B47" s="36" t="s">
        <v>177</v>
      </c>
      <c r="C47" s="37">
        <f>8101-'Cas anuladas TEEM'!E57</f>
        <v>7731</v>
      </c>
      <c r="D47" s="30">
        <f t="shared" si="0"/>
        <v>0.12751323624008312</v>
      </c>
      <c r="E47" s="29">
        <f>27214-'Cas anuladas TEEM'!F57</f>
        <v>25886</v>
      </c>
      <c r="F47" s="30">
        <f t="shared" si="1"/>
        <v>0.4269573966253773</v>
      </c>
      <c r="G47" s="29">
        <f>23742-'Cas anuladas TEEM'!G57</f>
        <v>22776</v>
      </c>
      <c r="H47" s="30">
        <f t="shared" si="2"/>
        <v>0.37566181200415644</v>
      </c>
      <c r="I47" s="29">
        <f>927-'Cas anuladas TEEM'!H57</f>
        <v>892</v>
      </c>
      <c r="J47" s="30">
        <f t="shared" si="3"/>
        <v>0.014712431344736017</v>
      </c>
      <c r="K47" s="29">
        <f>502-'Cas anuladas TEEM'!I57</f>
        <v>482</v>
      </c>
      <c r="L47" s="30">
        <f t="shared" si="4"/>
        <v>0.007949990928433587</v>
      </c>
      <c r="M47" s="29">
        <f>196-'Cas anuladas TEEM'!J57</f>
        <v>179</v>
      </c>
      <c r="N47" s="30">
        <f t="shared" si="5"/>
        <v>0.002952382523214963</v>
      </c>
      <c r="O47" s="29">
        <f>248-'Cas anuladas TEEM'!K57</f>
        <v>244</v>
      </c>
      <c r="P47" s="30">
        <f t="shared" si="6"/>
        <v>0.004024476735555592</v>
      </c>
      <c r="Q47" s="29">
        <f>577-'Cas anuladas TEEM'!L57</f>
        <v>548</v>
      </c>
      <c r="R47" s="30">
        <f t="shared" si="7"/>
        <v>0.00903857889788715</v>
      </c>
      <c r="S47" s="29">
        <f>37-'Cas anuladas TEEM'!M57</f>
        <v>35</v>
      </c>
      <c r="T47" s="30">
        <f t="shared" si="8"/>
        <v>0.0005772814989526465</v>
      </c>
      <c r="U47" s="29">
        <f>1966-'Cas anuladas TEEM'!N57</f>
        <v>1856</v>
      </c>
      <c r="V47" s="30">
        <f t="shared" si="9"/>
        <v>0.030612413201603194</v>
      </c>
      <c r="W47" s="38">
        <f t="shared" si="10"/>
        <v>60629</v>
      </c>
      <c r="X47" s="61">
        <f>'Cas anuladas TEEM'!O57</f>
        <v>2881</v>
      </c>
      <c r="Y47" s="61">
        <v>0</v>
      </c>
      <c r="Z47" s="61">
        <v>0</v>
      </c>
      <c r="AA47" s="62"/>
    </row>
    <row r="48" spans="1:27" ht="15">
      <c r="A48" s="35">
        <v>41</v>
      </c>
      <c r="B48" s="36" t="s">
        <v>142</v>
      </c>
      <c r="C48" s="37">
        <f>4300-'Cas anuladas TEEM'!E60</f>
        <v>4017</v>
      </c>
      <c r="D48" s="30">
        <f t="shared" si="0"/>
        <v>0.4350227420402859</v>
      </c>
      <c r="E48" s="29">
        <f>4631-'Cas anuladas TEEM'!F60</f>
        <v>4333</v>
      </c>
      <c r="F48" s="30">
        <f t="shared" si="1"/>
        <v>0.4692440978990687</v>
      </c>
      <c r="G48" s="29">
        <f>339-'Cas anuladas TEEM'!G60</f>
        <v>317</v>
      </c>
      <c r="H48" s="30">
        <f t="shared" si="2"/>
        <v>0.03432965128871562</v>
      </c>
      <c r="I48" s="29">
        <f>87-'Cas anuladas TEEM'!H60</f>
        <v>85</v>
      </c>
      <c r="J48" s="30">
        <f t="shared" si="3"/>
        <v>0.009205111544292831</v>
      </c>
      <c r="K48" s="29">
        <f>0-'Cas anuladas TEEM'!I60</f>
        <v>0</v>
      </c>
      <c r="L48" s="30">
        <f t="shared" si="4"/>
        <v>0</v>
      </c>
      <c r="M48" s="29">
        <f>17-'Cas anuladas TEEM'!J60</f>
        <v>16</v>
      </c>
      <c r="N48" s="30">
        <f t="shared" si="5"/>
        <v>0.0017327268789257093</v>
      </c>
      <c r="O48" s="29">
        <f>89-'Cas anuladas TEEM'!K60</f>
        <v>84</v>
      </c>
      <c r="P48" s="30">
        <f t="shared" si="6"/>
        <v>0.009096816114359974</v>
      </c>
      <c r="Q48" s="29">
        <f>0-'Cas anuladas TEEM'!L60</f>
        <v>0</v>
      </c>
      <c r="R48" s="30">
        <f t="shared" si="7"/>
        <v>0</v>
      </c>
      <c r="S48" s="29">
        <f>14-'Cas anuladas TEEM'!M60</f>
        <v>14</v>
      </c>
      <c r="T48" s="30">
        <f t="shared" si="8"/>
        <v>0.0015161360190599957</v>
      </c>
      <c r="U48" s="29">
        <f>384-'Cas anuladas TEEM'!N60</f>
        <v>368</v>
      </c>
      <c r="V48" s="30">
        <f t="shared" si="9"/>
        <v>0.039852718215291315</v>
      </c>
      <c r="W48" s="38">
        <f t="shared" si="10"/>
        <v>9234</v>
      </c>
      <c r="X48" s="61">
        <f>'Cas anuladas TEEM'!O60</f>
        <v>627</v>
      </c>
      <c r="Y48" s="61">
        <v>0</v>
      </c>
      <c r="Z48" s="61">
        <v>0</v>
      </c>
      <c r="AA48" s="62"/>
    </row>
    <row r="49" spans="1:27" ht="12.75">
      <c r="A49" s="35">
        <v>42</v>
      </c>
      <c r="B49" s="36" t="s">
        <v>60</v>
      </c>
      <c r="C49" s="37">
        <v>391</v>
      </c>
      <c r="D49" s="30">
        <f t="shared" si="0"/>
        <v>0.14804998106777736</v>
      </c>
      <c r="E49" s="29">
        <v>988</v>
      </c>
      <c r="F49" s="30">
        <f t="shared" si="1"/>
        <v>0.37410071942446044</v>
      </c>
      <c r="G49" s="29">
        <v>1173</v>
      </c>
      <c r="H49" s="30">
        <f t="shared" si="2"/>
        <v>0.44414994320333206</v>
      </c>
      <c r="I49" s="29">
        <v>18</v>
      </c>
      <c r="J49" s="30">
        <f t="shared" si="3"/>
        <v>0.006815600151457781</v>
      </c>
      <c r="K49" s="29">
        <v>0</v>
      </c>
      <c r="L49" s="30">
        <f t="shared" si="4"/>
        <v>0</v>
      </c>
      <c r="M49" s="29">
        <v>0</v>
      </c>
      <c r="N49" s="30">
        <f t="shared" si="5"/>
        <v>0</v>
      </c>
      <c r="O49" s="29">
        <v>6</v>
      </c>
      <c r="P49" s="30">
        <f t="shared" si="6"/>
        <v>0.002271866717152594</v>
      </c>
      <c r="Q49" s="29">
        <v>0</v>
      </c>
      <c r="R49" s="30">
        <f t="shared" si="7"/>
        <v>0</v>
      </c>
      <c r="S49" s="29">
        <v>2</v>
      </c>
      <c r="T49" s="30">
        <f t="shared" si="8"/>
        <v>0.0007572889057175312</v>
      </c>
      <c r="U49" s="29">
        <v>63</v>
      </c>
      <c r="V49" s="30">
        <f t="shared" si="9"/>
        <v>0.023854600530102233</v>
      </c>
      <c r="W49" s="38">
        <f t="shared" si="10"/>
        <v>2641</v>
      </c>
      <c r="X49" s="61">
        <v>0</v>
      </c>
      <c r="Y49" s="61">
        <v>0</v>
      </c>
      <c r="Z49" s="61">
        <v>0</v>
      </c>
      <c r="AA49" s="62"/>
    </row>
    <row r="50" spans="1:27" ht="15.75">
      <c r="A50" s="35">
        <v>43</v>
      </c>
      <c r="B50" s="45" t="s">
        <v>173</v>
      </c>
      <c r="C50" s="37">
        <f>3867-'Cas anuladas TEEM'!E65</f>
        <v>3745</v>
      </c>
      <c r="D50" s="30">
        <f t="shared" si="0"/>
        <v>0.10353884434614322</v>
      </c>
      <c r="E50" s="29">
        <f>14779-'Cas anuladas TEEM'!F65</f>
        <v>14330</v>
      </c>
      <c r="F50" s="30">
        <f t="shared" si="1"/>
        <v>0.39618468343931434</v>
      </c>
      <c r="G50" s="29">
        <f>694-'Cas anuladas TEEM'!G65</f>
        <v>668</v>
      </c>
      <c r="H50" s="30">
        <f t="shared" si="2"/>
        <v>0.01846834393143489</v>
      </c>
      <c r="I50" s="29">
        <f>350-'Cas anuladas TEEM'!H65</f>
        <v>334</v>
      </c>
      <c r="J50" s="30">
        <f t="shared" si="3"/>
        <v>0.009234171965717445</v>
      </c>
      <c r="K50" s="29">
        <f>15280-'Cas anuladas TEEM'!I65</f>
        <v>14603</v>
      </c>
      <c r="L50" s="30">
        <f t="shared" si="4"/>
        <v>0.4037323748963229</v>
      </c>
      <c r="M50" s="29">
        <f>219-'Cas anuladas TEEM'!J65</f>
        <v>210</v>
      </c>
      <c r="N50" s="30">
        <f t="shared" si="5"/>
        <v>0.005805916505391208</v>
      </c>
      <c r="O50" s="29">
        <f>190-'Cas anuladas TEEM'!K65</f>
        <v>185</v>
      </c>
      <c r="P50" s="30">
        <f t="shared" si="6"/>
        <v>0.005114735969035112</v>
      </c>
      <c r="Q50" s="29">
        <f>1-'Cas anuladas TEEM'!L65</f>
        <v>1</v>
      </c>
      <c r="R50" s="30">
        <f t="shared" si="7"/>
        <v>2.764722145424385E-05</v>
      </c>
      <c r="S50" s="29">
        <f>7-'Cas anuladas TEEM'!M65</f>
        <v>7</v>
      </c>
      <c r="T50" s="30">
        <f t="shared" si="8"/>
        <v>0.00019353055017970694</v>
      </c>
      <c r="U50" s="29">
        <f>2185-'Cas anuladas TEEM'!N65</f>
        <v>2087</v>
      </c>
      <c r="V50" s="30">
        <f t="shared" si="9"/>
        <v>0.05769975117500691</v>
      </c>
      <c r="W50" s="38">
        <f t="shared" si="10"/>
        <v>36170</v>
      </c>
      <c r="X50" s="61">
        <f>'Cas anuladas TEEM'!O65</f>
        <v>1402</v>
      </c>
      <c r="Y50" s="61">
        <v>0</v>
      </c>
      <c r="Z50" s="61">
        <v>0</v>
      </c>
      <c r="AA50" s="62"/>
    </row>
    <row r="51" spans="1:27" ht="12.75">
      <c r="A51" s="35">
        <v>44</v>
      </c>
      <c r="B51" s="36" t="s">
        <v>112</v>
      </c>
      <c r="C51" s="37">
        <v>896</v>
      </c>
      <c r="D51" s="30">
        <f t="shared" si="0"/>
        <v>0.1883540046247635</v>
      </c>
      <c r="E51" s="29">
        <v>1512</v>
      </c>
      <c r="F51" s="30">
        <f t="shared" si="1"/>
        <v>0.3178473828042884</v>
      </c>
      <c r="G51" s="29">
        <v>1215</v>
      </c>
      <c r="H51" s="30">
        <f t="shared" si="2"/>
        <v>0.2554130754677318</v>
      </c>
      <c r="I51" s="29">
        <v>1026</v>
      </c>
      <c r="J51" s="30">
        <f t="shared" si="3"/>
        <v>0.2156821526171957</v>
      </c>
      <c r="K51" s="29">
        <v>0</v>
      </c>
      <c r="L51" s="30">
        <f t="shared" si="4"/>
        <v>0</v>
      </c>
      <c r="M51" s="29">
        <v>16</v>
      </c>
      <c r="N51" s="30">
        <f t="shared" si="5"/>
        <v>0.0033634643682993485</v>
      </c>
      <c r="O51" s="29">
        <v>0</v>
      </c>
      <c r="P51" s="30">
        <f t="shared" si="6"/>
        <v>0</v>
      </c>
      <c r="Q51" s="29">
        <v>0</v>
      </c>
      <c r="R51" s="30">
        <f t="shared" si="7"/>
        <v>0</v>
      </c>
      <c r="S51" s="29">
        <v>1</v>
      </c>
      <c r="T51" s="30">
        <f t="shared" si="8"/>
        <v>0.00021021652301870928</v>
      </c>
      <c r="U51" s="29">
        <v>91</v>
      </c>
      <c r="V51" s="30">
        <f t="shared" si="9"/>
        <v>0.019129703594702542</v>
      </c>
      <c r="W51" s="38">
        <f t="shared" si="10"/>
        <v>4757</v>
      </c>
      <c r="X51" s="61">
        <v>0</v>
      </c>
      <c r="Y51" s="61">
        <v>0</v>
      </c>
      <c r="Z51" s="61">
        <v>0</v>
      </c>
      <c r="AA51" s="62"/>
    </row>
    <row r="52" spans="1:27" ht="12.75">
      <c r="A52" s="35">
        <v>45</v>
      </c>
      <c r="B52" s="36" t="s">
        <v>61</v>
      </c>
      <c r="C52" s="37">
        <v>1902</v>
      </c>
      <c r="D52" s="30">
        <f t="shared" si="0"/>
        <v>0.221034282393957</v>
      </c>
      <c r="E52" s="29">
        <v>3280</v>
      </c>
      <c r="F52" s="30">
        <f t="shared" si="1"/>
        <v>0.38117373619988376</v>
      </c>
      <c r="G52" s="29">
        <v>1649</v>
      </c>
      <c r="H52" s="30">
        <f t="shared" si="2"/>
        <v>0.1916327716443928</v>
      </c>
      <c r="I52" s="29">
        <v>442</v>
      </c>
      <c r="J52" s="30">
        <f t="shared" si="3"/>
        <v>0.05136548518303312</v>
      </c>
      <c r="K52" s="29">
        <v>733</v>
      </c>
      <c r="L52" s="30">
        <f t="shared" si="4"/>
        <v>0.0851830331202789</v>
      </c>
      <c r="M52" s="29">
        <v>100</v>
      </c>
      <c r="N52" s="30">
        <f t="shared" si="5"/>
        <v>0.011621150493898896</v>
      </c>
      <c r="O52" s="29">
        <v>93</v>
      </c>
      <c r="P52" s="30">
        <f t="shared" si="6"/>
        <v>0.010807669959325973</v>
      </c>
      <c r="Q52" s="29">
        <v>0</v>
      </c>
      <c r="R52" s="30">
        <f t="shared" si="7"/>
        <v>0</v>
      </c>
      <c r="S52" s="29">
        <v>1</v>
      </c>
      <c r="T52" s="30">
        <f t="shared" si="8"/>
        <v>0.00011621150493898897</v>
      </c>
      <c r="U52" s="29">
        <v>405</v>
      </c>
      <c r="V52" s="30">
        <f t="shared" si="9"/>
        <v>0.04706565950029053</v>
      </c>
      <c r="W52" s="38">
        <f t="shared" si="10"/>
        <v>8605</v>
      </c>
      <c r="X52" s="61">
        <v>0</v>
      </c>
      <c r="Y52" s="61">
        <v>0</v>
      </c>
      <c r="Z52" s="61">
        <v>0</v>
      </c>
      <c r="AA52" s="62"/>
    </row>
    <row r="53" spans="1:26" ht="15">
      <c r="A53" s="35">
        <v>46</v>
      </c>
      <c r="B53" s="36" t="s">
        <v>130</v>
      </c>
      <c r="C53" s="37">
        <f>9080-'Cas anuladas TEEM'!E66</f>
        <v>8926</v>
      </c>
      <c r="D53" s="30">
        <f t="shared" si="0"/>
        <v>0.3592963812744033</v>
      </c>
      <c r="E53" s="29">
        <f>14175-'Cas anuladas TEEM'!F66</f>
        <v>13987</v>
      </c>
      <c r="F53" s="30">
        <f t="shared" si="1"/>
        <v>0.5630157388399146</v>
      </c>
      <c r="G53" s="29">
        <f>759-'Cas anuladas TEEM'!G66</f>
        <v>759</v>
      </c>
      <c r="H53" s="30">
        <f t="shared" si="2"/>
        <v>0.03055186571670088</v>
      </c>
      <c r="I53" s="29">
        <f>246-'Cas anuladas TEEM'!H66</f>
        <v>246</v>
      </c>
      <c r="J53" s="30">
        <f t="shared" si="3"/>
        <v>0.00990218572636155</v>
      </c>
      <c r="K53" s="29">
        <f>3-'Cas anuladas TEEM'!I66</f>
        <v>3</v>
      </c>
      <c r="L53" s="30">
        <f t="shared" si="4"/>
        <v>0.00012075836251660427</v>
      </c>
      <c r="M53" s="29">
        <f>71-'Cas anuladas TEEM'!J66</f>
        <v>71</v>
      </c>
      <c r="N53" s="30">
        <f t="shared" si="5"/>
        <v>0.002857947912892968</v>
      </c>
      <c r="O53" s="29">
        <f>96-'Cas anuladas TEEM'!K66</f>
        <v>96</v>
      </c>
      <c r="P53" s="30">
        <f t="shared" si="6"/>
        <v>0.0038642676005313367</v>
      </c>
      <c r="Q53" s="29">
        <f>58-'Cas anuladas TEEM'!L66</f>
        <v>58</v>
      </c>
      <c r="R53" s="30">
        <f t="shared" si="7"/>
        <v>0.002334661675321016</v>
      </c>
      <c r="S53" s="29">
        <f>1-'Cas anuladas TEEM'!M66</f>
        <v>1</v>
      </c>
      <c r="T53" s="30">
        <f t="shared" si="8"/>
        <v>4.0252787505534755E-05</v>
      </c>
      <c r="U53" s="29">
        <f>710-'Cas anuladas TEEM'!N66</f>
        <v>696</v>
      </c>
      <c r="V53" s="30">
        <f t="shared" si="9"/>
        <v>0.02801594010385219</v>
      </c>
      <c r="W53" s="38">
        <f t="shared" si="10"/>
        <v>24843</v>
      </c>
      <c r="X53" s="61">
        <f>'Cas anuladas TEEM'!O66</f>
        <v>356</v>
      </c>
      <c r="Y53" s="61">
        <v>0</v>
      </c>
      <c r="Z53" s="61">
        <v>0</v>
      </c>
    </row>
    <row r="54" spans="1:26" ht="12.75">
      <c r="A54" s="35">
        <v>47</v>
      </c>
      <c r="B54" s="36" t="s">
        <v>62</v>
      </c>
      <c r="C54" s="37">
        <v>1115</v>
      </c>
      <c r="D54" s="30">
        <f t="shared" si="0"/>
        <v>0.19585455822940454</v>
      </c>
      <c r="E54" s="29">
        <v>2457</v>
      </c>
      <c r="F54" s="30">
        <f t="shared" si="1"/>
        <v>0.4315826453539434</v>
      </c>
      <c r="G54" s="29">
        <v>1885</v>
      </c>
      <c r="H54" s="30">
        <f t="shared" si="2"/>
        <v>0.33110837871069737</v>
      </c>
      <c r="I54" s="29">
        <v>84</v>
      </c>
      <c r="J54" s="30">
        <f t="shared" si="3"/>
        <v>0.014754962234322853</v>
      </c>
      <c r="K54" s="29">
        <v>0</v>
      </c>
      <c r="L54" s="30">
        <f t="shared" si="4"/>
        <v>0</v>
      </c>
      <c r="M54" s="29">
        <v>0</v>
      </c>
      <c r="N54" s="30">
        <f t="shared" si="5"/>
        <v>0</v>
      </c>
      <c r="O54" s="29">
        <v>11</v>
      </c>
      <c r="P54" s="30">
        <f t="shared" si="6"/>
        <v>0.0019321974354470403</v>
      </c>
      <c r="Q54" s="29">
        <v>0</v>
      </c>
      <c r="R54" s="30">
        <f t="shared" si="7"/>
        <v>0</v>
      </c>
      <c r="S54" s="29">
        <v>3</v>
      </c>
      <c r="T54" s="30">
        <f t="shared" si="8"/>
        <v>0.0005269629369401019</v>
      </c>
      <c r="U54" s="29">
        <v>138</v>
      </c>
      <c r="V54" s="30">
        <f t="shared" si="9"/>
        <v>0.024240295099244687</v>
      </c>
      <c r="W54" s="38">
        <f t="shared" si="10"/>
        <v>5693</v>
      </c>
      <c r="X54" s="61"/>
      <c r="Y54" s="61">
        <v>0</v>
      </c>
      <c r="Z54" s="61">
        <v>0</v>
      </c>
    </row>
    <row r="55" spans="1:26" ht="12.75">
      <c r="A55" s="35">
        <v>48</v>
      </c>
      <c r="B55" s="36" t="s">
        <v>63</v>
      </c>
      <c r="C55" s="37">
        <v>520</v>
      </c>
      <c r="D55" s="30">
        <f t="shared" si="0"/>
        <v>0.026050799058163418</v>
      </c>
      <c r="E55" s="29">
        <v>7638</v>
      </c>
      <c r="F55" s="30">
        <f t="shared" si="1"/>
        <v>0.38264616001202345</v>
      </c>
      <c r="G55" s="29">
        <v>2922</v>
      </c>
      <c r="H55" s="30">
        <f t="shared" si="2"/>
        <v>0.1463854516306798</v>
      </c>
      <c r="I55" s="29">
        <v>6318</v>
      </c>
      <c r="J55" s="30">
        <f t="shared" si="3"/>
        <v>0.3165172085566855</v>
      </c>
      <c r="K55" s="29">
        <v>1704</v>
      </c>
      <c r="L55" s="30">
        <f t="shared" si="4"/>
        <v>0.08536646460598167</v>
      </c>
      <c r="M55" s="29">
        <v>100</v>
      </c>
      <c r="N55" s="30">
        <f t="shared" si="5"/>
        <v>0.005009769049646812</v>
      </c>
      <c r="O55" s="29">
        <v>49</v>
      </c>
      <c r="P55" s="30">
        <f t="shared" si="6"/>
        <v>0.0024547868343269374</v>
      </c>
      <c r="Q55" s="29">
        <v>0</v>
      </c>
      <c r="R55" s="30">
        <f t="shared" si="7"/>
        <v>0</v>
      </c>
      <c r="S55" s="29">
        <v>11</v>
      </c>
      <c r="T55" s="30">
        <f t="shared" si="8"/>
        <v>0.0005510745954611493</v>
      </c>
      <c r="U55" s="29">
        <v>699</v>
      </c>
      <c r="V55" s="30">
        <f t="shared" si="9"/>
        <v>0.03501828565703121</v>
      </c>
      <c r="W55" s="38">
        <f t="shared" si="10"/>
        <v>19961</v>
      </c>
      <c r="X55" s="61">
        <v>0</v>
      </c>
      <c r="Y55" s="61">
        <v>0</v>
      </c>
      <c r="Z55" s="61">
        <v>0</v>
      </c>
    </row>
    <row r="56" spans="1:26" ht="12.75">
      <c r="A56" s="35">
        <v>49</v>
      </c>
      <c r="B56" s="36" t="s">
        <v>64</v>
      </c>
      <c r="C56" s="37">
        <v>8799</v>
      </c>
      <c r="D56" s="30">
        <f t="shared" si="0"/>
        <v>0.4651125911830003</v>
      </c>
      <c r="E56" s="29">
        <v>7980</v>
      </c>
      <c r="F56" s="30">
        <f t="shared" si="1"/>
        <v>0.42182048842372344</v>
      </c>
      <c r="G56" s="29">
        <v>562</v>
      </c>
      <c r="H56" s="30">
        <f t="shared" si="2"/>
        <v>0.02970715720477852</v>
      </c>
      <c r="I56" s="29">
        <v>187</v>
      </c>
      <c r="J56" s="30">
        <f t="shared" si="3"/>
        <v>0.009884765831483244</v>
      </c>
      <c r="K56" s="29">
        <v>395</v>
      </c>
      <c r="L56" s="30">
        <f t="shared" si="4"/>
        <v>0.020879585579871022</v>
      </c>
      <c r="M56" s="29">
        <v>41</v>
      </c>
      <c r="N56" s="30">
        <f t="shared" si="5"/>
        <v>0.0021672481234802834</v>
      </c>
      <c r="O56" s="29">
        <v>67</v>
      </c>
      <c r="P56" s="30">
        <f t="shared" si="6"/>
        <v>0.0035416005920287557</v>
      </c>
      <c r="Q56" s="29">
        <v>58</v>
      </c>
      <c r="R56" s="30">
        <f t="shared" si="7"/>
        <v>0.003065863199069669</v>
      </c>
      <c r="S56" s="29">
        <v>218</v>
      </c>
      <c r="T56" s="30">
        <f t="shared" si="8"/>
        <v>0.011523416851675653</v>
      </c>
      <c r="U56" s="29">
        <v>611</v>
      </c>
      <c r="V56" s="30">
        <f t="shared" si="9"/>
        <v>0.0322972830108891</v>
      </c>
      <c r="W56" s="38">
        <f t="shared" si="10"/>
        <v>18918</v>
      </c>
      <c r="X56" s="61">
        <v>0</v>
      </c>
      <c r="Y56" s="61">
        <v>0</v>
      </c>
      <c r="Z56" s="61">
        <v>0</v>
      </c>
    </row>
    <row r="57" spans="1:26" ht="12.75">
      <c r="A57" s="35">
        <v>50</v>
      </c>
      <c r="B57" s="36" t="s">
        <v>65</v>
      </c>
      <c r="C57" s="37">
        <v>1882</v>
      </c>
      <c r="D57" s="30">
        <f t="shared" si="0"/>
        <v>0.40735930735930737</v>
      </c>
      <c r="E57" s="29">
        <v>1450</v>
      </c>
      <c r="F57" s="30">
        <f t="shared" si="1"/>
        <v>0.31385281385281383</v>
      </c>
      <c r="G57" s="29">
        <v>1015</v>
      </c>
      <c r="H57" s="30">
        <f t="shared" si="2"/>
        <v>0.2196969696969697</v>
      </c>
      <c r="I57" s="29">
        <v>97</v>
      </c>
      <c r="J57" s="30">
        <f t="shared" si="3"/>
        <v>0.020995670995670995</v>
      </c>
      <c r="K57" s="29">
        <v>0</v>
      </c>
      <c r="L57" s="30">
        <f t="shared" si="4"/>
        <v>0</v>
      </c>
      <c r="M57" s="29">
        <v>8</v>
      </c>
      <c r="N57" s="30">
        <f t="shared" si="5"/>
        <v>0.0017316017316017316</v>
      </c>
      <c r="O57" s="29">
        <v>0</v>
      </c>
      <c r="P57" s="30">
        <f t="shared" si="6"/>
        <v>0</v>
      </c>
      <c r="Q57" s="29">
        <v>0</v>
      </c>
      <c r="R57" s="30">
        <f t="shared" si="7"/>
        <v>0</v>
      </c>
      <c r="S57" s="29">
        <v>0</v>
      </c>
      <c r="T57" s="30">
        <f t="shared" si="8"/>
        <v>0</v>
      </c>
      <c r="U57" s="29">
        <v>168</v>
      </c>
      <c r="V57" s="30">
        <f t="shared" si="9"/>
        <v>0.03636363636363636</v>
      </c>
      <c r="W57" s="38">
        <f t="shared" si="10"/>
        <v>4620</v>
      </c>
      <c r="X57" s="61">
        <v>0</v>
      </c>
      <c r="Y57" s="61">
        <v>0</v>
      </c>
      <c r="Z57" s="61">
        <v>0</v>
      </c>
    </row>
    <row r="58" spans="1:26" ht="15.75">
      <c r="A58" s="35">
        <v>51</v>
      </c>
      <c r="B58" s="45" t="s">
        <v>128</v>
      </c>
      <c r="C58" s="76">
        <f>1092-'Cas anuladas TEEM'!E67</f>
        <v>1035</v>
      </c>
      <c r="D58" s="30">
        <f t="shared" si="0"/>
        <v>0.14855748528778528</v>
      </c>
      <c r="E58" s="29">
        <f>1831-'Cas anuladas TEEM'!F67</f>
        <v>1763</v>
      </c>
      <c r="F58" s="30">
        <f t="shared" si="1"/>
        <v>0.2530500932969714</v>
      </c>
      <c r="G58" s="29">
        <f>422-'Cas anuladas TEEM'!G67</f>
        <v>379</v>
      </c>
      <c r="H58" s="30">
        <f t="shared" si="2"/>
        <v>0.05439931103774939</v>
      </c>
      <c r="I58" s="29">
        <f>1799-'Cas anuladas TEEM'!H67</f>
        <v>1664</v>
      </c>
      <c r="J58" s="30">
        <f t="shared" si="3"/>
        <v>0.2388402468781398</v>
      </c>
      <c r="K58" s="29">
        <f>970-'Cas anuladas TEEM'!I67</f>
        <v>966</v>
      </c>
      <c r="L58" s="30">
        <f t="shared" si="4"/>
        <v>0.13865365293526624</v>
      </c>
      <c r="M58" s="29">
        <f>19-'Cas anuladas TEEM'!J67</f>
        <v>17</v>
      </c>
      <c r="N58" s="30">
        <f t="shared" si="5"/>
        <v>0.0024400746375771495</v>
      </c>
      <c r="O58" s="29">
        <f>649-'Cas anuladas TEEM'!K67</f>
        <v>593</v>
      </c>
      <c r="P58" s="30">
        <f t="shared" si="6"/>
        <v>0.0851155447107794</v>
      </c>
      <c r="Q58" s="29">
        <f>408-'Cas anuladas TEEM'!L67</f>
        <v>380</v>
      </c>
      <c r="R58" s="30">
        <f t="shared" si="7"/>
        <v>0.05454284483995981</v>
      </c>
      <c r="S58" s="29">
        <f>4-'Cas anuladas TEEM'!M67</f>
        <v>4</v>
      </c>
      <c r="T58" s="30">
        <f t="shared" si="8"/>
        <v>0.0005741352088416823</v>
      </c>
      <c r="U58" s="29">
        <f>174-'Cas anuladas TEEM'!N67</f>
        <v>166</v>
      </c>
      <c r="V58" s="30">
        <f t="shared" si="9"/>
        <v>0.02382661116692981</v>
      </c>
      <c r="W58" s="38">
        <f t="shared" si="10"/>
        <v>6967</v>
      </c>
      <c r="X58" s="61">
        <f>'Cas anuladas TEEM'!O67</f>
        <v>401</v>
      </c>
      <c r="Y58" s="61">
        <v>0</v>
      </c>
      <c r="Z58" s="61">
        <v>0</v>
      </c>
    </row>
    <row r="59" spans="1:26" ht="12.75">
      <c r="A59" s="35">
        <v>52</v>
      </c>
      <c r="B59" s="36" t="s">
        <v>21</v>
      </c>
      <c r="C59" s="37">
        <v>9086</v>
      </c>
      <c r="D59" s="30">
        <f t="shared" si="0"/>
        <v>0.2802245250431779</v>
      </c>
      <c r="E59" s="29">
        <v>12705</v>
      </c>
      <c r="F59" s="30">
        <f t="shared" si="1"/>
        <v>0.391839378238342</v>
      </c>
      <c r="G59" s="29">
        <v>5974</v>
      </c>
      <c r="H59" s="30">
        <f t="shared" si="2"/>
        <v>0.18424623735504564</v>
      </c>
      <c r="I59" s="29">
        <v>759</v>
      </c>
      <c r="J59" s="30">
        <f t="shared" si="3"/>
        <v>0.02340858623242043</v>
      </c>
      <c r="K59" s="29">
        <v>348</v>
      </c>
      <c r="L59" s="30">
        <f t="shared" si="4"/>
        <v>0.01073279052553664</v>
      </c>
      <c r="M59" s="29">
        <v>79</v>
      </c>
      <c r="N59" s="30">
        <f t="shared" si="5"/>
        <v>0.0024364668147051566</v>
      </c>
      <c r="O59" s="29">
        <v>1944</v>
      </c>
      <c r="P59" s="30">
        <f t="shared" si="6"/>
        <v>0.05995558845299778</v>
      </c>
      <c r="Q59" s="29">
        <v>797</v>
      </c>
      <c r="R59" s="30">
        <f t="shared" si="7"/>
        <v>0.024580557611645695</v>
      </c>
      <c r="S59" s="29">
        <v>1</v>
      </c>
      <c r="T59" s="30">
        <f t="shared" si="8"/>
        <v>3.08413520848754E-05</v>
      </c>
      <c r="U59" s="29">
        <v>731</v>
      </c>
      <c r="V59" s="30">
        <f t="shared" si="9"/>
        <v>0.02254502837404392</v>
      </c>
      <c r="W59" s="38">
        <f t="shared" si="10"/>
        <v>32424</v>
      </c>
      <c r="X59" s="61">
        <v>0</v>
      </c>
      <c r="Y59" s="61">
        <v>0</v>
      </c>
      <c r="Z59" s="61">
        <v>0</v>
      </c>
    </row>
    <row r="60" spans="1:26" ht="12.75">
      <c r="A60" s="35">
        <v>53</v>
      </c>
      <c r="B60" s="36" t="s">
        <v>66</v>
      </c>
      <c r="C60" s="37">
        <v>3585</v>
      </c>
      <c r="D60" s="30">
        <f t="shared" si="0"/>
        <v>0.45937980522808813</v>
      </c>
      <c r="E60" s="29">
        <v>2885</v>
      </c>
      <c r="F60" s="30">
        <f t="shared" si="1"/>
        <v>0.369682214249103</v>
      </c>
      <c r="G60" s="29">
        <v>987</v>
      </c>
      <c r="H60" s="30">
        <f t="shared" si="2"/>
        <v>0.12647360328036905</v>
      </c>
      <c r="I60" s="29">
        <v>82</v>
      </c>
      <c r="J60" s="30">
        <f t="shared" si="3"/>
        <v>0.010507432086109688</v>
      </c>
      <c r="K60" s="29">
        <v>0</v>
      </c>
      <c r="L60" s="30">
        <f t="shared" si="4"/>
        <v>0</v>
      </c>
      <c r="M60" s="29">
        <v>16</v>
      </c>
      <c r="N60" s="30">
        <f t="shared" si="5"/>
        <v>0.0020502306509482316</v>
      </c>
      <c r="O60" s="29">
        <v>0</v>
      </c>
      <c r="P60" s="30">
        <f t="shared" si="6"/>
        <v>0</v>
      </c>
      <c r="Q60" s="29">
        <v>0</v>
      </c>
      <c r="R60" s="30">
        <f t="shared" si="7"/>
        <v>0</v>
      </c>
      <c r="S60" s="29">
        <v>3</v>
      </c>
      <c r="T60" s="30">
        <f t="shared" si="8"/>
        <v>0.00038441824705279346</v>
      </c>
      <c r="U60" s="29">
        <v>246</v>
      </c>
      <c r="V60" s="30">
        <f t="shared" si="9"/>
        <v>0.031522296258329065</v>
      </c>
      <c r="W60" s="38">
        <f t="shared" si="10"/>
        <v>7804</v>
      </c>
      <c r="X60" s="61">
        <v>0</v>
      </c>
      <c r="Y60" s="61">
        <v>0</v>
      </c>
      <c r="Z60" s="61">
        <v>0</v>
      </c>
    </row>
    <row r="61" spans="1:26" ht="12.75">
      <c r="A61" s="35">
        <v>54</v>
      </c>
      <c r="B61" s="36" t="s">
        <v>67</v>
      </c>
      <c r="C61" s="37">
        <v>3459</v>
      </c>
      <c r="D61" s="30">
        <f t="shared" si="0"/>
        <v>0.2508521285082312</v>
      </c>
      <c r="E61" s="29">
        <v>5249</v>
      </c>
      <c r="F61" s="30">
        <f t="shared" si="1"/>
        <v>0.3806657480600479</v>
      </c>
      <c r="G61" s="29">
        <v>3991</v>
      </c>
      <c r="H61" s="30">
        <f t="shared" si="2"/>
        <v>0.28943360649793315</v>
      </c>
      <c r="I61" s="29">
        <v>61</v>
      </c>
      <c r="J61" s="30">
        <f t="shared" si="3"/>
        <v>0.004423816085285372</v>
      </c>
      <c r="K61" s="29">
        <v>728</v>
      </c>
      <c r="L61" s="30">
        <f t="shared" si="4"/>
        <v>0.05279570672275002</v>
      </c>
      <c r="M61" s="29">
        <v>1</v>
      </c>
      <c r="N61" s="30">
        <f t="shared" si="5"/>
        <v>7.252157516861267E-05</v>
      </c>
      <c r="O61" s="29">
        <v>39</v>
      </c>
      <c r="P61" s="30">
        <f t="shared" si="6"/>
        <v>0.002828341431575894</v>
      </c>
      <c r="Q61" s="29">
        <v>1</v>
      </c>
      <c r="R61" s="30">
        <f t="shared" si="7"/>
        <v>7.252157516861267E-05</v>
      </c>
      <c r="S61" s="29">
        <v>4</v>
      </c>
      <c r="T61" s="30">
        <f t="shared" si="8"/>
        <v>0.00029008630067445067</v>
      </c>
      <c r="U61" s="29">
        <v>256</v>
      </c>
      <c r="V61" s="30">
        <f t="shared" si="9"/>
        <v>0.018565523243164843</v>
      </c>
      <c r="W61" s="38">
        <f t="shared" si="10"/>
        <v>13789</v>
      </c>
      <c r="X61" s="61">
        <v>0</v>
      </c>
      <c r="Y61" s="61">
        <v>0</v>
      </c>
      <c r="Z61" s="61">
        <v>0</v>
      </c>
    </row>
    <row r="62" spans="1:26" ht="15">
      <c r="A62" s="35">
        <v>55</v>
      </c>
      <c r="B62" s="36" t="s">
        <v>165</v>
      </c>
      <c r="C62" s="37">
        <f>20016-'Cas anuladas TEEM'!E70</f>
        <v>19857</v>
      </c>
      <c r="D62" s="30">
        <f t="shared" si="0"/>
        <v>0.3141781244561176</v>
      </c>
      <c r="E62" s="29">
        <f>17498-'Cas anuladas TEEM'!F70</f>
        <v>17323</v>
      </c>
      <c r="F62" s="30">
        <f t="shared" si="1"/>
        <v>0.274085090897584</v>
      </c>
      <c r="G62" s="29">
        <f>3915-'Cas anuladas TEEM'!G70</f>
        <v>3889</v>
      </c>
      <c r="H62" s="30">
        <f t="shared" si="2"/>
        <v>0.061531889309051783</v>
      </c>
      <c r="I62" s="29">
        <f>15885-'Cas anuladas TEEM'!H70</f>
        <v>15728</v>
      </c>
      <c r="J62" s="30">
        <f t="shared" si="3"/>
        <v>0.24884894704365298</v>
      </c>
      <c r="K62" s="29">
        <f>642-'Cas anuladas TEEM'!I70</f>
        <v>634</v>
      </c>
      <c r="L62" s="30">
        <f t="shared" si="4"/>
        <v>0.010031169406515513</v>
      </c>
      <c r="M62" s="29">
        <f>3942-'Cas anuladas TEEM'!J70</f>
        <v>3903</v>
      </c>
      <c r="N62" s="30">
        <f t="shared" si="5"/>
        <v>0.06175339778175087</v>
      </c>
      <c r="O62" s="29">
        <f>255-'Cas anuladas TEEM'!K70</f>
        <v>251</v>
      </c>
      <c r="P62" s="30">
        <f t="shared" si="6"/>
        <v>0.003971330474819233</v>
      </c>
      <c r="Q62" s="29">
        <f>372-'Cas anuladas TEEM'!L70</f>
        <v>371</v>
      </c>
      <c r="R62" s="30">
        <f t="shared" si="7"/>
        <v>0.00586997452652564</v>
      </c>
      <c r="S62" s="29">
        <f>21-'Cas anuladas TEEM'!M70</f>
        <v>21</v>
      </c>
      <c r="T62" s="30">
        <f t="shared" si="8"/>
        <v>0.0003322627090486211</v>
      </c>
      <c r="U62" s="29">
        <f>1242-'Cas anuladas TEEM'!N70</f>
        <v>1226</v>
      </c>
      <c r="V62" s="30">
        <f t="shared" si="9"/>
        <v>0.019397813394933783</v>
      </c>
      <c r="W62" s="38">
        <f t="shared" si="10"/>
        <v>63203</v>
      </c>
      <c r="X62" s="61">
        <f>'Cas anuladas TEEM'!O70</f>
        <v>585</v>
      </c>
      <c r="Y62" s="61">
        <v>0</v>
      </c>
      <c r="Z62" s="61">
        <v>0</v>
      </c>
    </row>
    <row r="63" spans="1:26" ht="12.75">
      <c r="A63" s="35">
        <v>56</v>
      </c>
      <c r="B63" s="36" t="s">
        <v>68</v>
      </c>
      <c r="C63" s="37">
        <v>69</v>
      </c>
      <c r="D63" s="30">
        <f t="shared" si="0"/>
        <v>0.01791277258566978</v>
      </c>
      <c r="E63" s="29">
        <v>1677</v>
      </c>
      <c r="F63" s="30">
        <f t="shared" si="1"/>
        <v>0.4353582554517134</v>
      </c>
      <c r="G63" s="29">
        <v>137</v>
      </c>
      <c r="H63" s="30">
        <f t="shared" si="2"/>
        <v>0.03556593977154725</v>
      </c>
      <c r="I63" s="29">
        <v>1210</v>
      </c>
      <c r="J63" s="30">
        <f t="shared" si="3"/>
        <v>0.31412253374870197</v>
      </c>
      <c r="K63" s="29">
        <v>693</v>
      </c>
      <c r="L63" s="30">
        <f t="shared" si="4"/>
        <v>0.17990654205607476</v>
      </c>
      <c r="M63" s="29">
        <v>4</v>
      </c>
      <c r="N63" s="30">
        <f t="shared" si="5"/>
        <v>0.0010384215991692627</v>
      </c>
      <c r="O63" s="29">
        <v>0</v>
      </c>
      <c r="P63" s="30">
        <f t="shared" si="6"/>
        <v>0</v>
      </c>
      <c r="Q63" s="29">
        <v>0</v>
      </c>
      <c r="R63" s="30">
        <f t="shared" si="7"/>
        <v>0</v>
      </c>
      <c r="S63" s="29">
        <v>0</v>
      </c>
      <c r="T63" s="30">
        <f t="shared" si="8"/>
        <v>0</v>
      </c>
      <c r="U63" s="29">
        <v>62</v>
      </c>
      <c r="V63" s="30">
        <f t="shared" si="9"/>
        <v>0.016095534787123573</v>
      </c>
      <c r="W63" s="38">
        <f t="shared" si="10"/>
        <v>3852</v>
      </c>
      <c r="X63" s="61">
        <v>0</v>
      </c>
      <c r="Y63" s="61">
        <v>0</v>
      </c>
      <c r="Z63" s="61">
        <v>0</v>
      </c>
    </row>
    <row r="64" spans="1:26" ht="12.75">
      <c r="A64" s="35">
        <v>57</v>
      </c>
      <c r="B64" s="36" t="s">
        <v>69</v>
      </c>
      <c r="C64" s="37">
        <v>522</v>
      </c>
      <c r="D64" s="30">
        <f t="shared" si="0"/>
        <v>0.054878048780487805</v>
      </c>
      <c r="E64" s="29">
        <v>3899</v>
      </c>
      <c r="F64" s="30">
        <f t="shared" si="1"/>
        <v>0.40990328006728344</v>
      </c>
      <c r="G64" s="29">
        <v>3147</v>
      </c>
      <c r="H64" s="30">
        <f t="shared" si="2"/>
        <v>0.3308452481076535</v>
      </c>
      <c r="I64" s="29">
        <v>142</v>
      </c>
      <c r="J64" s="30">
        <f t="shared" si="3"/>
        <v>0.014928511354079058</v>
      </c>
      <c r="K64" s="29">
        <v>1187</v>
      </c>
      <c r="L64" s="30">
        <f t="shared" si="4"/>
        <v>0.12478973927670312</v>
      </c>
      <c r="M64" s="29">
        <v>44</v>
      </c>
      <c r="N64" s="30">
        <f t="shared" si="5"/>
        <v>0.004625735912531539</v>
      </c>
      <c r="O64" s="29">
        <v>27</v>
      </c>
      <c r="P64" s="30">
        <f t="shared" si="6"/>
        <v>0.0028385197645079898</v>
      </c>
      <c r="Q64" s="29">
        <v>0</v>
      </c>
      <c r="R64" s="30">
        <f t="shared" si="7"/>
        <v>0</v>
      </c>
      <c r="S64" s="29">
        <v>5</v>
      </c>
      <c r="T64" s="30">
        <f t="shared" si="8"/>
        <v>0.0005256518082422204</v>
      </c>
      <c r="U64" s="29">
        <v>539</v>
      </c>
      <c r="V64" s="30">
        <f t="shared" si="9"/>
        <v>0.05666526492851135</v>
      </c>
      <c r="W64" s="38">
        <f t="shared" si="10"/>
        <v>9512</v>
      </c>
      <c r="X64" s="61">
        <v>0</v>
      </c>
      <c r="Y64" s="61">
        <v>0</v>
      </c>
      <c r="Z64" s="61">
        <v>0</v>
      </c>
    </row>
    <row r="65" spans="1:26" ht="15">
      <c r="A65" s="35">
        <v>58</v>
      </c>
      <c r="B65" s="36" t="s">
        <v>179</v>
      </c>
      <c r="C65" s="37">
        <f>101031-'Cas anuladas TEEM'!E80</f>
        <v>100253</v>
      </c>
      <c r="D65" s="30">
        <f t="shared" si="0"/>
        <v>0.467619758384253</v>
      </c>
      <c r="E65" s="29">
        <f>60669-'Cas anuladas TEEM'!F80</f>
        <v>60114</v>
      </c>
      <c r="F65" s="30">
        <f t="shared" si="1"/>
        <v>0.28039554083679274</v>
      </c>
      <c r="G65" s="29">
        <f>34214-'Cas anuladas TEEM'!G80</f>
        <v>33878</v>
      </c>
      <c r="H65" s="30">
        <f t="shared" si="2"/>
        <v>0.15802043005737207</v>
      </c>
      <c r="I65" s="29">
        <f>1878-'Cas anuladas TEEM'!H80</f>
        <v>1864</v>
      </c>
      <c r="J65" s="30">
        <f t="shared" si="3"/>
        <v>0.008694435374784272</v>
      </c>
      <c r="K65" s="29">
        <f>2192-'Cas anuladas TEEM'!I80</f>
        <v>2180</v>
      </c>
      <c r="L65" s="30">
        <f t="shared" si="4"/>
        <v>0.01016838471943654</v>
      </c>
      <c r="M65" s="29">
        <f>835-'Cas anuladas TEEM'!J80</f>
        <v>828</v>
      </c>
      <c r="N65" s="30">
        <f t="shared" si="5"/>
        <v>0.0038621204347217687</v>
      </c>
      <c r="O65" s="29">
        <f>3357-'Cas anuladas TEEM'!K80</f>
        <v>3337</v>
      </c>
      <c r="P65" s="30">
        <f t="shared" si="6"/>
        <v>0.015565091655394376</v>
      </c>
      <c r="Q65" s="29">
        <f>4771-'Cas anuladas TEEM'!L80</f>
        <v>4725</v>
      </c>
      <c r="R65" s="30">
        <f t="shared" si="7"/>
        <v>0.022039274219879657</v>
      </c>
      <c r="S65" s="29">
        <f>1304-'Cas anuladas TEEM'!M80</f>
        <v>1304</v>
      </c>
      <c r="T65" s="30">
        <f t="shared" si="8"/>
        <v>0.006082373245020757</v>
      </c>
      <c r="U65" s="29">
        <f>5943-'Cas anuladas TEEM'!N80</f>
        <v>5907</v>
      </c>
      <c r="V65" s="30">
        <f t="shared" si="9"/>
        <v>0.02755259107234479</v>
      </c>
      <c r="W65" s="38">
        <f t="shared" si="10"/>
        <v>214390</v>
      </c>
      <c r="X65" s="61">
        <f>'Cas anuladas TEEM'!O80</f>
        <v>1804</v>
      </c>
      <c r="Y65" s="61">
        <v>0</v>
      </c>
      <c r="Z65" s="61">
        <v>0</v>
      </c>
    </row>
    <row r="66" spans="1:26" ht="12.75">
      <c r="A66" s="35">
        <v>59</v>
      </c>
      <c r="B66" s="36" t="s">
        <v>70</v>
      </c>
      <c r="C66" s="37">
        <v>1067</v>
      </c>
      <c r="D66" s="30">
        <f t="shared" si="0"/>
        <v>0.1992530345471522</v>
      </c>
      <c r="E66" s="29">
        <v>2716</v>
      </c>
      <c r="F66" s="30">
        <f t="shared" si="1"/>
        <v>0.5071895424836601</v>
      </c>
      <c r="G66" s="29">
        <v>1364</v>
      </c>
      <c r="H66" s="30">
        <f t="shared" si="2"/>
        <v>0.25471521942110176</v>
      </c>
      <c r="I66" s="29">
        <v>47</v>
      </c>
      <c r="J66" s="30">
        <f t="shared" si="3"/>
        <v>0.008776844070961718</v>
      </c>
      <c r="K66" s="29">
        <v>0</v>
      </c>
      <c r="L66" s="30">
        <f t="shared" si="4"/>
        <v>0</v>
      </c>
      <c r="M66" s="29">
        <v>0</v>
      </c>
      <c r="N66" s="30">
        <f t="shared" si="5"/>
        <v>0</v>
      </c>
      <c r="O66" s="29">
        <v>26</v>
      </c>
      <c r="P66" s="30">
        <f t="shared" si="6"/>
        <v>0.004855275443510738</v>
      </c>
      <c r="Q66" s="29">
        <v>0</v>
      </c>
      <c r="R66" s="30">
        <f t="shared" si="7"/>
        <v>0</v>
      </c>
      <c r="S66" s="29">
        <v>0</v>
      </c>
      <c r="T66" s="30">
        <f t="shared" si="8"/>
        <v>0</v>
      </c>
      <c r="U66" s="29">
        <v>135</v>
      </c>
      <c r="V66" s="30">
        <f t="shared" si="9"/>
        <v>0.025210084033613446</v>
      </c>
      <c r="W66" s="38">
        <f t="shared" si="10"/>
        <v>5355</v>
      </c>
      <c r="X66" s="61">
        <v>0</v>
      </c>
      <c r="Y66" s="61">
        <v>0</v>
      </c>
      <c r="Z66" s="61">
        <v>0</v>
      </c>
    </row>
    <row r="67" spans="1:26" ht="12.75">
      <c r="A67" s="35">
        <v>60</v>
      </c>
      <c r="B67" s="36" t="s">
        <v>71</v>
      </c>
      <c r="C67" s="37">
        <v>44025</v>
      </c>
      <c r="D67" s="30">
        <f t="shared" si="0"/>
        <v>0.14982184727530126</v>
      </c>
      <c r="E67" s="29">
        <v>79144</v>
      </c>
      <c r="F67" s="30">
        <f t="shared" si="1"/>
        <v>0.2693356111472219</v>
      </c>
      <c r="G67" s="29">
        <v>148949</v>
      </c>
      <c r="H67" s="30">
        <f t="shared" si="2"/>
        <v>0.5068895929542043</v>
      </c>
      <c r="I67" s="29">
        <v>3596</v>
      </c>
      <c r="J67" s="30">
        <f t="shared" si="3"/>
        <v>0.012237577803565778</v>
      </c>
      <c r="K67" s="29">
        <v>3982</v>
      </c>
      <c r="L67" s="30">
        <f t="shared" si="4"/>
        <v>0.013551177645661548</v>
      </c>
      <c r="M67" s="29">
        <v>1273</v>
      </c>
      <c r="N67" s="30">
        <f t="shared" si="5"/>
        <v>0.004332156992196672</v>
      </c>
      <c r="O67" s="29">
        <v>1746</v>
      </c>
      <c r="P67" s="30">
        <f t="shared" si="6"/>
        <v>0.005941827265023873</v>
      </c>
      <c r="Q67" s="29">
        <v>1661</v>
      </c>
      <c r="R67" s="30">
        <f t="shared" si="7"/>
        <v>0.005652563051090866</v>
      </c>
      <c r="S67" s="29">
        <v>1285</v>
      </c>
      <c r="T67" s="30">
        <f t="shared" si="8"/>
        <v>0.004372994292987214</v>
      </c>
      <c r="U67" s="29">
        <v>8188</v>
      </c>
      <c r="V67" s="30">
        <f t="shared" si="9"/>
        <v>0.027864651572746545</v>
      </c>
      <c r="W67" s="38">
        <f t="shared" si="10"/>
        <v>293849</v>
      </c>
      <c r="X67" s="61">
        <v>0</v>
      </c>
      <c r="Y67" s="61">
        <v>0</v>
      </c>
      <c r="Z67" s="61">
        <v>0</v>
      </c>
    </row>
    <row r="68" spans="1:26" ht="12.75">
      <c r="A68" s="35">
        <v>61</v>
      </c>
      <c r="B68" s="36" t="s">
        <v>72</v>
      </c>
      <c r="C68" s="37">
        <v>39015</v>
      </c>
      <c r="D68" s="30">
        <f t="shared" si="0"/>
        <v>0.49181877773295685</v>
      </c>
      <c r="E68" s="29">
        <v>24828</v>
      </c>
      <c r="F68" s="30">
        <f t="shared" si="1"/>
        <v>0.3129790237999193</v>
      </c>
      <c r="G68" s="29">
        <v>4341</v>
      </c>
      <c r="H68" s="30">
        <f t="shared" si="2"/>
        <v>0.05472216619604679</v>
      </c>
      <c r="I68" s="29">
        <v>3420</v>
      </c>
      <c r="J68" s="30">
        <f t="shared" si="3"/>
        <v>0.04311214199273901</v>
      </c>
      <c r="K68" s="29">
        <v>3615</v>
      </c>
      <c r="L68" s="30">
        <f t="shared" si="4"/>
        <v>0.04557029043969343</v>
      </c>
      <c r="M68" s="29">
        <v>544</v>
      </c>
      <c r="N68" s="30">
        <f t="shared" si="5"/>
        <v>0.006857603872529245</v>
      </c>
      <c r="O68" s="29">
        <v>488</v>
      </c>
      <c r="P68" s="30">
        <f t="shared" si="6"/>
        <v>0.0061516740621218235</v>
      </c>
      <c r="Q68" s="29">
        <v>748</v>
      </c>
      <c r="R68" s="30">
        <f t="shared" si="7"/>
        <v>0.009429205324727713</v>
      </c>
      <c r="S68" s="29">
        <v>26</v>
      </c>
      <c r="T68" s="30">
        <f t="shared" si="8"/>
        <v>0.00032775312626058897</v>
      </c>
      <c r="U68" s="29">
        <v>2303</v>
      </c>
      <c r="V68" s="30">
        <f t="shared" si="9"/>
        <v>0.029031363453005245</v>
      </c>
      <c r="W68" s="38">
        <f t="shared" si="10"/>
        <v>79328</v>
      </c>
      <c r="X68" s="61">
        <v>0</v>
      </c>
      <c r="Y68" s="61">
        <v>0</v>
      </c>
      <c r="Z68" s="61">
        <v>0</v>
      </c>
    </row>
    <row r="69" spans="1:26" ht="12.75">
      <c r="A69" s="35">
        <v>62</v>
      </c>
      <c r="B69" s="36" t="s">
        <v>73</v>
      </c>
      <c r="C69" s="37">
        <v>1677</v>
      </c>
      <c r="D69" s="30">
        <f t="shared" si="0"/>
        <v>0.46390041493775935</v>
      </c>
      <c r="E69" s="29">
        <v>1365</v>
      </c>
      <c r="F69" s="30">
        <f t="shared" si="1"/>
        <v>0.3775933609958506</v>
      </c>
      <c r="G69" s="29">
        <v>306</v>
      </c>
      <c r="H69" s="30">
        <f t="shared" si="2"/>
        <v>0.08464730290456432</v>
      </c>
      <c r="I69" s="29">
        <v>146</v>
      </c>
      <c r="J69" s="30">
        <f t="shared" si="3"/>
        <v>0.04038727524204703</v>
      </c>
      <c r="K69" s="29">
        <v>0</v>
      </c>
      <c r="L69" s="30">
        <f t="shared" si="4"/>
        <v>0</v>
      </c>
      <c r="M69" s="29">
        <v>0</v>
      </c>
      <c r="N69" s="30">
        <f t="shared" si="5"/>
        <v>0</v>
      </c>
      <c r="O69" s="29">
        <v>0</v>
      </c>
      <c r="P69" s="30">
        <f t="shared" si="6"/>
        <v>0</v>
      </c>
      <c r="Q69" s="29">
        <v>22</v>
      </c>
      <c r="R69" s="30">
        <f t="shared" si="7"/>
        <v>0.006085753803596127</v>
      </c>
      <c r="S69" s="29">
        <v>2</v>
      </c>
      <c r="T69" s="30">
        <f t="shared" si="8"/>
        <v>0.0005532503457814661</v>
      </c>
      <c r="U69" s="29">
        <v>97</v>
      </c>
      <c r="V69" s="30">
        <f t="shared" si="9"/>
        <v>0.026832641770401105</v>
      </c>
      <c r="W69" s="38">
        <f t="shared" si="10"/>
        <v>3615</v>
      </c>
      <c r="X69" s="61">
        <v>0</v>
      </c>
      <c r="Y69" s="61">
        <v>0</v>
      </c>
      <c r="Z69" s="61">
        <v>0</v>
      </c>
    </row>
    <row r="70" spans="1:26" ht="15">
      <c r="A70" s="35">
        <v>63</v>
      </c>
      <c r="B70" s="36" t="s">
        <v>139</v>
      </c>
      <c r="C70" s="37">
        <f>3025-'Cas anuladas TEEM'!E81</f>
        <v>2961</v>
      </c>
      <c r="D70" s="30">
        <f t="shared" si="0"/>
        <v>0.17256250364240341</v>
      </c>
      <c r="E70" s="29">
        <f>4981-'Cas anuladas TEEM'!F81</f>
        <v>4906</v>
      </c>
      <c r="F70" s="30">
        <f t="shared" si="1"/>
        <v>0.28591409755813274</v>
      </c>
      <c r="G70" s="29">
        <f>3804-'Cas anuladas TEEM'!G81</f>
        <v>3736</v>
      </c>
      <c r="H70" s="30">
        <f t="shared" si="2"/>
        <v>0.21772830584532898</v>
      </c>
      <c r="I70" s="29">
        <f>2292-'Cas anuladas TEEM'!H81</f>
        <v>2225</v>
      </c>
      <c r="J70" s="30">
        <f t="shared" si="3"/>
        <v>0.12966956116323794</v>
      </c>
      <c r="K70" s="29">
        <f>465-'Cas anuladas TEEM'!I81</f>
        <v>453</v>
      </c>
      <c r="L70" s="30">
        <f t="shared" si="4"/>
        <v>0.026400139868290692</v>
      </c>
      <c r="M70" s="29">
        <f>2118-'Cas anuladas TEEM'!J81</f>
        <v>2101</v>
      </c>
      <c r="N70" s="30">
        <f t="shared" si="5"/>
        <v>0.12244303281076986</v>
      </c>
      <c r="O70" s="29">
        <f>200-'Cas anuladas TEEM'!K81</f>
        <v>200</v>
      </c>
      <c r="P70" s="30">
        <f t="shared" si="6"/>
        <v>0.01165569089107757</v>
      </c>
      <c r="Q70" s="29">
        <f>96-'Cas anuladas TEEM'!L81</f>
        <v>96</v>
      </c>
      <c r="R70" s="30">
        <f t="shared" si="7"/>
        <v>0.005594731627717233</v>
      </c>
      <c r="S70" s="29">
        <f>0-'Cas anuladas TEEM'!M81</f>
        <v>0</v>
      </c>
      <c r="T70" s="30">
        <f t="shared" si="8"/>
        <v>0</v>
      </c>
      <c r="U70" s="29">
        <f>502-'Cas anuladas TEEM'!N81</f>
        <v>481</v>
      </c>
      <c r="V70" s="30">
        <f t="shared" si="9"/>
        <v>0.028031936593041554</v>
      </c>
      <c r="W70" s="38">
        <f t="shared" si="10"/>
        <v>17159</v>
      </c>
      <c r="X70" s="61">
        <f>'Cas anuladas TEEM'!O81</f>
        <v>324</v>
      </c>
      <c r="Y70" s="61">
        <v>0</v>
      </c>
      <c r="Z70" s="61">
        <v>0</v>
      </c>
    </row>
    <row r="71" spans="1:26" ht="12.75">
      <c r="A71" s="35">
        <v>64</v>
      </c>
      <c r="B71" s="36" t="s">
        <v>74</v>
      </c>
      <c r="C71" s="37">
        <v>314</v>
      </c>
      <c r="D71" s="30">
        <f t="shared" si="0"/>
        <v>0.0395765061759516</v>
      </c>
      <c r="E71" s="29">
        <v>2810</v>
      </c>
      <c r="F71" s="30">
        <f t="shared" si="1"/>
        <v>0.3541719183261911</v>
      </c>
      <c r="G71" s="29">
        <v>2150</v>
      </c>
      <c r="H71" s="30">
        <f t="shared" si="2"/>
        <v>0.2709856314595412</v>
      </c>
      <c r="I71" s="29">
        <v>2317</v>
      </c>
      <c r="J71" s="30">
        <f t="shared" si="3"/>
        <v>0.29203428283337535</v>
      </c>
      <c r="K71" s="29">
        <v>0</v>
      </c>
      <c r="L71" s="30">
        <f t="shared" si="4"/>
        <v>0</v>
      </c>
      <c r="M71" s="29">
        <v>11</v>
      </c>
      <c r="N71" s="30">
        <f t="shared" si="5"/>
        <v>0.0013864381144441643</v>
      </c>
      <c r="O71" s="29">
        <v>0</v>
      </c>
      <c r="P71" s="30">
        <f t="shared" si="6"/>
        <v>0</v>
      </c>
      <c r="Q71" s="29">
        <v>0</v>
      </c>
      <c r="R71" s="30">
        <f t="shared" si="7"/>
        <v>0</v>
      </c>
      <c r="S71" s="29">
        <v>30</v>
      </c>
      <c r="T71" s="30">
        <f t="shared" si="8"/>
        <v>0.0037811948575749935</v>
      </c>
      <c r="U71" s="29">
        <v>302</v>
      </c>
      <c r="V71" s="30">
        <f t="shared" si="9"/>
        <v>0.038064028232921605</v>
      </c>
      <c r="W71" s="38">
        <f t="shared" si="10"/>
        <v>7934</v>
      </c>
      <c r="X71" s="61">
        <v>0</v>
      </c>
      <c r="Y71" s="61">
        <v>0</v>
      </c>
      <c r="Z71" s="61">
        <v>0</v>
      </c>
    </row>
    <row r="72" spans="1:26" ht="15">
      <c r="A72" s="35">
        <v>65</v>
      </c>
      <c r="B72" s="36" t="s">
        <v>123</v>
      </c>
      <c r="C72" s="37">
        <f>2544-'Cas anuladas TEEM'!E82</f>
        <v>2513</v>
      </c>
      <c r="D72" s="30">
        <f aca="true" t="shared" si="11" ref="D72:D131">C72/$W72</f>
        <v>0.2677391860217345</v>
      </c>
      <c r="E72" s="29">
        <f>3568-'Cas anuladas TEEM'!F82</f>
        <v>3450</v>
      </c>
      <c r="F72" s="30">
        <f aca="true" t="shared" si="12" ref="F72:F131">E72/$W72</f>
        <v>0.3675687193692734</v>
      </c>
      <c r="G72" s="29">
        <f>2370-'Cas anuladas TEEM'!G82</f>
        <v>2253</v>
      </c>
      <c r="H72" s="30">
        <f aca="true" t="shared" si="13" ref="H72:H131">G72/$W72</f>
        <v>0.24003835499680376</v>
      </c>
      <c r="I72" s="29">
        <f>101-'Cas anuladas TEEM'!H82</f>
        <v>100</v>
      </c>
      <c r="J72" s="30">
        <f aca="true" t="shared" si="14" ref="J72:J131">I72/$W72</f>
        <v>0.010654165778819518</v>
      </c>
      <c r="K72" s="29">
        <f>0-'Cas anuladas TEEM'!I82</f>
        <v>0</v>
      </c>
      <c r="L72" s="30">
        <f aca="true" t="shared" si="15" ref="L72:L131">K72/$W72</f>
        <v>0</v>
      </c>
      <c r="M72" s="29">
        <f>80-'Cas anuladas TEEM'!J82</f>
        <v>79</v>
      </c>
      <c r="N72" s="30">
        <f aca="true" t="shared" si="16" ref="N72:N131">M72/$W72</f>
        <v>0.00841679096526742</v>
      </c>
      <c r="O72" s="29">
        <f>358-'Cas anuladas TEEM'!K82</f>
        <v>348</v>
      </c>
      <c r="P72" s="30">
        <f aca="true" t="shared" si="17" ref="P72:P131">O72/W72</f>
        <v>0.037076496910291926</v>
      </c>
      <c r="Q72" s="29">
        <f>82-'Cas anuladas TEEM'!L82</f>
        <v>81</v>
      </c>
      <c r="R72" s="30">
        <f aca="true" t="shared" si="18" ref="R72:R131">Q72/$W72</f>
        <v>0.00862987428084381</v>
      </c>
      <c r="S72" s="29">
        <f>0-'Cas anuladas TEEM'!M82</f>
        <v>0</v>
      </c>
      <c r="T72" s="30">
        <f aca="true" t="shared" si="19" ref="T72:T131">S72/$W72</f>
        <v>0</v>
      </c>
      <c r="U72" s="29">
        <f>577-'Cas anuladas TEEM'!N82</f>
        <v>562</v>
      </c>
      <c r="V72" s="30">
        <f aca="true" t="shared" si="20" ref="V72:V130">U72/$W72</f>
        <v>0.059876411676965696</v>
      </c>
      <c r="W72" s="38">
        <f t="shared" si="10"/>
        <v>9386</v>
      </c>
      <c r="X72" s="61">
        <f>'Cas anuladas TEEM'!O82</f>
        <v>294</v>
      </c>
      <c r="Y72" s="61">
        <v>0</v>
      </c>
      <c r="Z72" s="61">
        <v>0</v>
      </c>
    </row>
    <row r="73" spans="1:26" ht="12.75">
      <c r="A73" s="35">
        <v>66</v>
      </c>
      <c r="B73" s="36" t="s">
        <v>33</v>
      </c>
      <c r="C73" s="37">
        <v>1358</v>
      </c>
      <c r="D73" s="30">
        <f t="shared" si="11"/>
        <v>0.14197595399895452</v>
      </c>
      <c r="E73" s="29">
        <v>4357</v>
      </c>
      <c r="F73" s="30">
        <f t="shared" si="12"/>
        <v>0.45551489806586515</v>
      </c>
      <c r="G73" s="29">
        <v>2341</v>
      </c>
      <c r="H73" s="30">
        <f t="shared" si="13"/>
        <v>0.24474647151071616</v>
      </c>
      <c r="I73" s="29">
        <v>470</v>
      </c>
      <c r="J73" s="30">
        <f t="shared" si="14"/>
        <v>0.04913748039728175</v>
      </c>
      <c r="K73" s="29">
        <v>573</v>
      </c>
      <c r="L73" s="30">
        <f t="shared" si="15"/>
        <v>0.05990590695243074</v>
      </c>
      <c r="M73" s="29">
        <v>20</v>
      </c>
      <c r="N73" s="30">
        <f t="shared" si="16"/>
        <v>0.0020909566126502874</v>
      </c>
      <c r="O73" s="29">
        <v>20</v>
      </c>
      <c r="P73" s="30">
        <f t="shared" si="17"/>
        <v>0.0020909566126502874</v>
      </c>
      <c r="Q73" s="29">
        <v>192</v>
      </c>
      <c r="R73" s="30">
        <f t="shared" si="18"/>
        <v>0.02007318348144276</v>
      </c>
      <c r="S73" s="29">
        <v>0</v>
      </c>
      <c r="T73" s="30">
        <f t="shared" si="19"/>
        <v>0</v>
      </c>
      <c r="U73" s="29">
        <v>234</v>
      </c>
      <c r="V73" s="30">
        <f t="shared" si="20"/>
        <v>0.024464192368008363</v>
      </c>
      <c r="W73" s="38">
        <f aca="true" t="shared" si="21" ref="W73:W131">C73+E73+G73+I73+K73+M73+O73+Q73+S73+U73</f>
        <v>9565</v>
      </c>
      <c r="X73" s="61">
        <v>0</v>
      </c>
      <c r="Y73" s="61">
        <v>0</v>
      </c>
      <c r="Z73" s="61">
        <v>0</v>
      </c>
    </row>
    <row r="74" spans="1:26" ht="12.75">
      <c r="A74" s="35">
        <v>67</v>
      </c>
      <c r="B74" s="36" t="s">
        <v>75</v>
      </c>
      <c r="C74" s="37">
        <v>231</v>
      </c>
      <c r="D74" s="30">
        <f t="shared" si="11"/>
        <v>0.09486652977412731</v>
      </c>
      <c r="E74" s="29">
        <v>864</v>
      </c>
      <c r="F74" s="30">
        <f t="shared" si="12"/>
        <v>0.35482546201232035</v>
      </c>
      <c r="G74" s="29">
        <v>834</v>
      </c>
      <c r="H74" s="30">
        <f t="shared" si="13"/>
        <v>0.3425051334702259</v>
      </c>
      <c r="I74" s="29">
        <v>450</v>
      </c>
      <c r="J74" s="30">
        <f t="shared" si="14"/>
        <v>0.18480492813141683</v>
      </c>
      <c r="K74" s="29">
        <v>0</v>
      </c>
      <c r="L74" s="30">
        <f t="shared" si="15"/>
        <v>0</v>
      </c>
      <c r="M74" s="29">
        <v>0</v>
      </c>
      <c r="N74" s="30">
        <f t="shared" si="16"/>
        <v>0</v>
      </c>
      <c r="O74" s="29">
        <v>0</v>
      </c>
      <c r="P74" s="30">
        <f t="shared" si="17"/>
        <v>0</v>
      </c>
      <c r="Q74" s="29">
        <v>0</v>
      </c>
      <c r="R74" s="30">
        <f t="shared" si="18"/>
        <v>0</v>
      </c>
      <c r="S74" s="29">
        <v>2</v>
      </c>
      <c r="T74" s="30">
        <f t="shared" si="19"/>
        <v>0.0008213552361396304</v>
      </c>
      <c r="U74" s="29">
        <v>54</v>
      </c>
      <c r="V74" s="30">
        <f t="shared" si="20"/>
        <v>0.02217659137577002</v>
      </c>
      <c r="W74" s="38">
        <f t="shared" si="21"/>
        <v>2435</v>
      </c>
      <c r="X74" s="61">
        <v>0</v>
      </c>
      <c r="Y74" s="61">
        <v>0</v>
      </c>
      <c r="Z74" s="61">
        <v>0</v>
      </c>
    </row>
    <row r="75" spans="1:26" ht="12.75">
      <c r="A75" s="35">
        <v>68</v>
      </c>
      <c r="B75" s="36" t="s">
        <v>76</v>
      </c>
      <c r="C75" s="37">
        <v>3738</v>
      </c>
      <c r="D75" s="30">
        <f t="shared" si="11"/>
        <v>0.21346582148363885</v>
      </c>
      <c r="E75" s="29">
        <v>6003</v>
      </c>
      <c r="F75" s="30">
        <f t="shared" si="12"/>
        <v>0.3428130889155388</v>
      </c>
      <c r="G75" s="29">
        <v>4444</v>
      </c>
      <c r="H75" s="30">
        <f t="shared" si="13"/>
        <v>0.2537833361886814</v>
      </c>
      <c r="I75" s="29">
        <v>2676</v>
      </c>
      <c r="J75" s="30">
        <f t="shared" si="14"/>
        <v>0.1528182285420593</v>
      </c>
      <c r="K75" s="29">
        <v>40</v>
      </c>
      <c r="L75" s="30">
        <f t="shared" si="15"/>
        <v>0.002284278453543487</v>
      </c>
      <c r="M75" s="29">
        <v>39</v>
      </c>
      <c r="N75" s="30">
        <f t="shared" si="16"/>
        <v>0.0022271714922048997</v>
      </c>
      <c r="O75" s="29">
        <v>34</v>
      </c>
      <c r="P75" s="30">
        <f t="shared" si="17"/>
        <v>0.0019416366855119639</v>
      </c>
      <c r="Q75" s="29">
        <v>24</v>
      </c>
      <c r="R75" s="30">
        <f t="shared" si="18"/>
        <v>0.0013705670721260923</v>
      </c>
      <c r="S75" s="29">
        <v>1</v>
      </c>
      <c r="T75" s="30">
        <f t="shared" si="19"/>
        <v>5.710696133858717E-05</v>
      </c>
      <c r="U75" s="29">
        <v>512</v>
      </c>
      <c r="V75" s="30">
        <f t="shared" si="20"/>
        <v>0.02923876420535663</v>
      </c>
      <c r="W75" s="38">
        <f t="shared" si="21"/>
        <v>17511</v>
      </c>
      <c r="X75" s="61">
        <v>0</v>
      </c>
      <c r="Y75" s="61">
        <v>0</v>
      </c>
      <c r="Z75" s="61">
        <v>0</v>
      </c>
    </row>
    <row r="76" spans="1:26" ht="12.75">
      <c r="A76" s="35">
        <v>69</v>
      </c>
      <c r="B76" s="36" t="s">
        <v>77</v>
      </c>
      <c r="C76" s="37">
        <v>628</v>
      </c>
      <c r="D76" s="30">
        <f t="shared" si="11"/>
        <v>0.07396937573616019</v>
      </c>
      <c r="E76" s="29">
        <v>2348</v>
      </c>
      <c r="F76" s="30">
        <f t="shared" si="12"/>
        <v>0.27656065959952886</v>
      </c>
      <c r="G76" s="29">
        <v>888</v>
      </c>
      <c r="H76" s="30">
        <f t="shared" si="13"/>
        <v>0.10459363957597173</v>
      </c>
      <c r="I76" s="29">
        <v>1145</v>
      </c>
      <c r="J76" s="30">
        <f t="shared" si="14"/>
        <v>0.1348645465253239</v>
      </c>
      <c r="K76" s="29">
        <v>0</v>
      </c>
      <c r="L76" s="30">
        <f t="shared" si="15"/>
        <v>0</v>
      </c>
      <c r="M76" s="29">
        <v>34</v>
      </c>
      <c r="N76" s="30">
        <f t="shared" si="16"/>
        <v>0.004004711425206125</v>
      </c>
      <c r="O76" s="29">
        <v>2829</v>
      </c>
      <c r="P76" s="30">
        <f t="shared" si="17"/>
        <v>0.33321554770318024</v>
      </c>
      <c r="Q76" s="29">
        <v>325</v>
      </c>
      <c r="R76" s="30">
        <f t="shared" si="18"/>
        <v>0.03828032979976443</v>
      </c>
      <c r="S76" s="29">
        <v>4</v>
      </c>
      <c r="T76" s="30">
        <f t="shared" si="19"/>
        <v>0.0004711425206124853</v>
      </c>
      <c r="U76" s="29">
        <v>289</v>
      </c>
      <c r="V76" s="30">
        <f t="shared" si="20"/>
        <v>0.03404004711425206</v>
      </c>
      <c r="W76" s="38">
        <f t="shared" si="21"/>
        <v>8490</v>
      </c>
      <c r="X76" s="61">
        <v>0</v>
      </c>
      <c r="Y76" s="61">
        <v>0</v>
      </c>
      <c r="Z76" s="61">
        <v>0</v>
      </c>
    </row>
    <row r="77" spans="1:26" ht="12.75">
      <c r="A77" s="35">
        <v>70</v>
      </c>
      <c r="B77" s="36" t="s">
        <v>78</v>
      </c>
      <c r="C77" s="37">
        <v>443</v>
      </c>
      <c r="D77" s="30">
        <f t="shared" si="11"/>
        <v>0.23414376321353064</v>
      </c>
      <c r="E77" s="29">
        <v>661</v>
      </c>
      <c r="F77" s="30">
        <f t="shared" si="12"/>
        <v>0.34936575052854124</v>
      </c>
      <c r="G77" s="29">
        <v>492</v>
      </c>
      <c r="H77" s="30">
        <f t="shared" si="13"/>
        <v>0.26004228329809725</v>
      </c>
      <c r="I77" s="29">
        <v>160</v>
      </c>
      <c r="J77" s="30">
        <f t="shared" si="14"/>
        <v>0.08456659619450317</v>
      </c>
      <c r="K77" s="29">
        <v>0</v>
      </c>
      <c r="L77" s="30">
        <f t="shared" si="15"/>
        <v>0</v>
      </c>
      <c r="M77" s="29">
        <v>0</v>
      </c>
      <c r="N77" s="30">
        <f t="shared" si="16"/>
        <v>0</v>
      </c>
      <c r="O77" s="29">
        <v>0</v>
      </c>
      <c r="P77" s="30">
        <f t="shared" si="17"/>
        <v>0</v>
      </c>
      <c r="Q77" s="29">
        <v>108</v>
      </c>
      <c r="R77" s="30">
        <f t="shared" si="18"/>
        <v>0.05708245243128964</v>
      </c>
      <c r="S77" s="29">
        <v>0</v>
      </c>
      <c r="T77" s="30">
        <f t="shared" si="19"/>
        <v>0</v>
      </c>
      <c r="U77" s="29">
        <v>28</v>
      </c>
      <c r="V77" s="30">
        <f t="shared" si="20"/>
        <v>0.014799154334038054</v>
      </c>
      <c r="W77" s="38">
        <f t="shared" si="21"/>
        <v>1892</v>
      </c>
      <c r="X77" s="61">
        <v>0</v>
      </c>
      <c r="Y77" s="61">
        <v>0</v>
      </c>
      <c r="Z77" s="61">
        <v>0</v>
      </c>
    </row>
    <row r="78" spans="1:26" ht="15">
      <c r="A78" s="35">
        <v>71</v>
      </c>
      <c r="B78" s="36" t="s">
        <v>136</v>
      </c>
      <c r="C78" s="37">
        <f>3677-'Cas anuladas TEEM'!E94+'Cas anuladas TEPJF'!E84</f>
        <v>3400</v>
      </c>
      <c r="D78" s="30">
        <f t="shared" si="11"/>
        <v>0.07873468726119075</v>
      </c>
      <c r="E78" s="29">
        <f>18471-'Cas anuladas TEEM'!F94+'Cas anuladas TEPJF'!F84</f>
        <v>17186</v>
      </c>
      <c r="F78" s="30">
        <f t="shared" si="12"/>
        <v>0.39798068684436005</v>
      </c>
      <c r="G78" s="29">
        <f>13420-'Cas anuladas TEEM'!G94+'Cas anuladas TEPJF'!G84</f>
        <v>12517</v>
      </c>
      <c r="H78" s="30">
        <f t="shared" si="13"/>
        <v>0.2898594354259778</v>
      </c>
      <c r="I78" s="29">
        <f>8335-'Cas anuladas TEEM'!H94+'Cas anuladas TEPJF'!H84</f>
        <v>7761</v>
      </c>
      <c r="J78" s="30">
        <f t="shared" si="14"/>
        <v>0.17972350230414746</v>
      </c>
      <c r="K78" s="29">
        <f>196-'Cas anuladas TEEM'!I94+'Cas anuladas TEPJF'!I84</f>
        <v>183</v>
      </c>
      <c r="L78" s="30">
        <f t="shared" si="15"/>
        <v>0.004237778755528796</v>
      </c>
      <c r="M78" s="29">
        <f>457-'Cas anuladas TEEM'!J94+'Cas anuladas TEPJF'!J84</f>
        <v>426</v>
      </c>
      <c r="N78" s="30">
        <f t="shared" si="16"/>
        <v>0.009864993168608017</v>
      </c>
      <c r="O78" s="29">
        <f>304-'Cas anuladas TEEM'!K94+'Cas anuladas TEPJF'!K84</f>
        <v>282</v>
      </c>
      <c r="P78" s="30">
        <f t="shared" si="17"/>
        <v>0.0065303475904869976</v>
      </c>
      <c r="Q78" s="29">
        <f>381-'Cas anuladas TEEM'!L94+'Cas anuladas TEPJF'!L84</f>
        <v>366</v>
      </c>
      <c r="R78" s="30">
        <f t="shared" si="18"/>
        <v>0.008475557511057592</v>
      </c>
      <c r="S78" s="29">
        <f>3-'Cas anuladas TEEM'!M94+'Cas anuladas TEPJF'!M84</f>
        <v>3</v>
      </c>
      <c r="T78" s="30">
        <f t="shared" si="19"/>
        <v>6.947178287752125E-05</v>
      </c>
      <c r="U78" s="29">
        <f>1138-'Cas anuladas TEEM'!N94+'Cas anuladas TEPJF'!N84</f>
        <v>1059</v>
      </c>
      <c r="V78" s="30">
        <f t="shared" si="20"/>
        <v>0.024523539355765</v>
      </c>
      <c r="W78" s="38">
        <f t="shared" si="21"/>
        <v>43183</v>
      </c>
      <c r="X78" s="61">
        <f>'Cas anuladas TEEM'!O94</f>
        <v>2759</v>
      </c>
      <c r="Y78" s="61">
        <v>0</v>
      </c>
      <c r="Z78" s="61">
        <f>-'Cas anuladas TEPJF'!O84</f>
        <v>440</v>
      </c>
    </row>
    <row r="79" spans="1:26" ht="12.75">
      <c r="A79" s="35">
        <v>72</v>
      </c>
      <c r="B79" s="36" t="s">
        <v>79</v>
      </c>
      <c r="C79" s="37">
        <v>2553</v>
      </c>
      <c r="D79" s="30">
        <f t="shared" si="11"/>
        <v>0.4668983174835406</v>
      </c>
      <c r="E79" s="29">
        <v>2337</v>
      </c>
      <c r="F79" s="30">
        <f t="shared" si="12"/>
        <v>0.42739575713240674</v>
      </c>
      <c r="G79" s="29">
        <v>413</v>
      </c>
      <c r="H79" s="30">
        <f t="shared" si="13"/>
        <v>0.07553035844915874</v>
      </c>
      <c r="I79" s="29">
        <v>25</v>
      </c>
      <c r="J79" s="30">
        <f t="shared" si="14"/>
        <v>0.004572055596196049</v>
      </c>
      <c r="K79" s="29">
        <v>0</v>
      </c>
      <c r="L79" s="30">
        <f t="shared" si="15"/>
        <v>0</v>
      </c>
      <c r="M79" s="29">
        <v>9</v>
      </c>
      <c r="N79" s="30">
        <f t="shared" si="16"/>
        <v>0.0016459400146305778</v>
      </c>
      <c r="O79" s="29">
        <v>18</v>
      </c>
      <c r="P79" s="30">
        <f t="shared" si="17"/>
        <v>0.0032918800292611556</v>
      </c>
      <c r="Q79" s="29">
        <v>0</v>
      </c>
      <c r="R79" s="30">
        <f t="shared" si="18"/>
        <v>0</v>
      </c>
      <c r="S79" s="29">
        <v>0</v>
      </c>
      <c r="T79" s="30">
        <f t="shared" si="19"/>
        <v>0</v>
      </c>
      <c r="U79" s="29">
        <v>113</v>
      </c>
      <c r="V79" s="30">
        <f t="shared" si="20"/>
        <v>0.020665691294806145</v>
      </c>
      <c r="W79" s="38">
        <f t="shared" si="21"/>
        <v>5468</v>
      </c>
      <c r="X79" s="61">
        <v>0</v>
      </c>
      <c r="Y79" s="61">
        <v>0</v>
      </c>
      <c r="Z79" s="61">
        <v>0</v>
      </c>
    </row>
    <row r="80" spans="1:26" ht="12.75">
      <c r="A80" s="35">
        <v>73</v>
      </c>
      <c r="B80" s="36" t="s">
        <v>80</v>
      </c>
      <c r="C80" s="37">
        <v>261</v>
      </c>
      <c r="D80" s="30">
        <f t="shared" si="11"/>
        <v>0.06626047220106626</v>
      </c>
      <c r="E80" s="29">
        <v>1551</v>
      </c>
      <c r="F80" s="30">
        <f t="shared" si="12"/>
        <v>0.39375476009139376</v>
      </c>
      <c r="G80" s="29">
        <v>577</v>
      </c>
      <c r="H80" s="30">
        <f t="shared" si="13"/>
        <v>0.14648387915714647</v>
      </c>
      <c r="I80" s="29">
        <v>1356</v>
      </c>
      <c r="J80" s="30">
        <f t="shared" si="14"/>
        <v>0.34424980959634427</v>
      </c>
      <c r="K80" s="29">
        <v>0</v>
      </c>
      <c r="L80" s="30">
        <f t="shared" si="15"/>
        <v>0</v>
      </c>
      <c r="M80" s="29">
        <v>69</v>
      </c>
      <c r="N80" s="30">
        <f t="shared" si="16"/>
        <v>0.017517136329017517</v>
      </c>
      <c r="O80" s="29">
        <v>0</v>
      </c>
      <c r="P80" s="30">
        <f t="shared" si="17"/>
        <v>0</v>
      </c>
      <c r="Q80" s="29">
        <v>0</v>
      </c>
      <c r="R80" s="30">
        <f t="shared" si="18"/>
        <v>0</v>
      </c>
      <c r="S80" s="29">
        <v>0</v>
      </c>
      <c r="T80" s="30">
        <f t="shared" si="19"/>
        <v>0</v>
      </c>
      <c r="U80" s="29">
        <v>125</v>
      </c>
      <c r="V80" s="30">
        <f t="shared" si="20"/>
        <v>0.031733942625031736</v>
      </c>
      <c r="W80" s="38">
        <f t="shared" si="21"/>
        <v>3939</v>
      </c>
      <c r="X80" s="61">
        <v>0</v>
      </c>
      <c r="Y80" s="61">
        <v>0</v>
      </c>
      <c r="Z80" s="61">
        <v>0</v>
      </c>
    </row>
    <row r="81" spans="1:26" ht="15">
      <c r="A81" s="35">
        <v>74</v>
      </c>
      <c r="B81" s="36" t="s">
        <v>169</v>
      </c>
      <c r="C81" s="37">
        <f>1241-'Cas anuladas TEEM'!E97+'Cas anuladas TEPJF'!E87</f>
        <v>1241</v>
      </c>
      <c r="D81" s="30">
        <f t="shared" si="11"/>
        <v>0.27504432624113473</v>
      </c>
      <c r="E81" s="29">
        <f>1437-'Cas anuladas TEEM'!F97+'Cas anuladas TEPJF'!F87</f>
        <v>1437</v>
      </c>
      <c r="F81" s="30">
        <f t="shared" si="12"/>
        <v>0.3184840425531915</v>
      </c>
      <c r="G81" s="29">
        <f>1477-'Cas anuladas TEEM'!G97+'Cas anuladas TEPJF'!G87</f>
        <v>1477</v>
      </c>
      <c r="H81" s="30">
        <f t="shared" si="13"/>
        <v>0.32734929078014185</v>
      </c>
      <c r="I81" s="29">
        <f>285-'Cas anuladas TEEM'!H97+'Cas anuladas TEPJF'!H87</f>
        <v>285</v>
      </c>
      <c r="J81" s="30">
        <f t="shared" si="14"/>
        <v>0.06316489361702128</v>
      </c>
      <c r="K81" s="29">
        <f>0-'Cas anuladas TEEM'!I97+'Cas anuladas TEPJF'!I87</f>
        <v>0</v>
      </c>
      <c r="L81" s="30">
        <f t="shared" si="15"/>
        <v>0</v>
      </c>
      <c r="M81" s="29">
        <f>0-'Cas anuladas TEEM'!J97+'Cas anuladas TEPJF'!J87</f>
        <v>0</v>
      </c>
      <c r="N81" s="30">
        <f t="shared" si="16"/>
        <v>0</v>
      </c>
      <c r="O81" s="29">
        <f>0-'Cas anuladas TEEM'!K97+'Cas anuladas TEPJF'!K87</f>
        <v>0</v>
      </c>
      <c r="P81" s="30">
        <f t="shared" si="17"/>
        <v>0</v>
      </c>
      <c r="Q81" s="29">
        <f>0-'Cas anuladas TEEM'!L97+'Cas anuladas TEPJF'!L87</f>
        <v>0</v>
      </c>
      <c r="R81" s="30">
        <f t="shared" si="18"/>
        <v>0</v>
      </c>
      <c r="S81" s="29">
        <f>1-'Cas anuladas TEEM'!M97+'Cas anuladas TEPJF'!M87</f>
        <v>1</v>
      </c>
      <c r="T81" s="30">
        <f t="shared" si="19"/>
        <v>0.00022163120567375886</v>
      </c>
      <c r="U81" s="29">
        <f>71-'Cas anuladas TEEM'!N97+'Cas anuladas TEPJF'!N87</f>
        <v>71</v>
      </c>
      <c r="V81" s="30">
        <f t="shared" si="20"/>
        <v>0.015735815602836878</v>
      </c>
      <c r="W81" s="38">
        <f t="shared" si="21"/>
        <v>4512</v>
      </c>
      <c r="X81" s="61">
        <f>'Cas anuladas TEEM'!O97</f>
        <v>886</v>
      </c>
      <c r="Y81" s="61">
        <f>'Cas anuladas TEPJF'!O87</f>
        <v>886</v>
      </c>
      <c r="Z81" s="61">
        <v>0</v>
      </c>
    </row>
    <row r="82" spans="1:26" ht="12.75">
      <c r="A82" s="35">
        <v>75</v>
      </c>
      <c r="B82" s="36" t="s">
        <v>81</v>
      </c>
      <c r="C82" s="37">
        <v>6629</v>
      </c>
      <c r="D82" s="30">
        <f t="shared" si="11"/>
        <v>0.2321891418563923</v>
      </c>
      <c r="E82" s="29">
        <v>11344</v>
      </c>
      <c r="F82" s="30">
        <f t="shared" si="12"/>
        <v>0.397338003502627</v>
      </c>
      <c r="G82" s="29">
        <v>5188</v>
      </c>
      <c r="H82" s="30">
        <f t="shared" si="13"/>
        <v>0.18171628721541155</v>
      </c>
      <c r="I82" s="29">
        <v>403</v>
      </c>
      <c r="J82" s="30">
        <f t="shared" si="14"/>
        <v>0.014115586690017513</v>
      </c>
      <c r="K82" s="29">
        <v>234</v>
      </c>
      <c r="L82" s="30">
        <f t="shared" si="15"/>
        <v>0.008196147110332749</v>
      </c>
      <c r="M82" s="29">
        <v>561</v>
      </c>
      <c r="N82" s="30">
        <f t="shared" si="16"/>
        <v>0.019649737302977234</v>
      </c>
      <c r="O82" s="29">
        <v>144</v>
      </c>
      <c r="P82" s="30">
        <f t="shared" si="17"/>
        <v>0.0050437828371278455</v>
      </c>
      <c r="Q82" s="29">
        <v>1768</v>
      </c>
      <c r="R82" s="30">
        <f t="shared" si="18"/>
        <v>0.06192644483362522</v>
      </c>
      <c r="S82" s="29">
        <v>254</v>
      </c>
      <c r="T82" s="30">
        <f t="shared" si="19"/>
        <v>0.008896672504378283</v>
      </c>
      <c r="U82" s="29">
        <v>2025</v>
      </c>
      <c r="V82" s="30">
        <f t="shared" si="20"/>
        <v>0.07092819614711034</v>
      </c>
      <c r="W82" s="38">
        <f t="shared" si="21"/>
        <v>28550</v>
      </c>
      <c r="X82" s="61">
        <v>0</v>
      </c>
      <c r="Y82" s="61">
        <v>0</v>
      </c>
      <c r="Z82" s="61">
        <v>0</v>
      </c>
    </row>
    <row r="83" spans="1:26" ht="13.5">
      <c r="A83" s="35">
        <v>76</v>
      </c>
      <c r="B83" s="45" t="s">
        <v>129</v>
      </c>
      <c r="C83" s="37">
        <v>2385</v>
      </c>
      <c r="D83" s="30">
        <f t="shared" si="11"/>
        <v>0.34781974624471346</v>
      </c>
      <c r="E83" s="29">
        <v>2906</v>
      </c>
      <c r="F83" s="30">
        <f t="shared" si="12"/>
        <v>0.4238004958436634</v>
      </c>
      <c r="G83" s="29">
        <v>1219</v>
      </c>
      <c r="H83" s="30">
        <f t="shared" si="13"/>
        <v>0.1777745369695202</v>
      </c>
      <c r="I83" s="29">
        <v>80</v>
      </c>
      <c r="J83" s="30">
        <f t="shared" si="14"/>
        <v>0.011666909727285985</v>
      </c>
      <c r="K83" s="29">
        <v>58</v>
      </c>
      <c r="L83" s="30">
        <f t="shared" si="15"/>
        <v>0.008458509552282339</v>
      </c>
      <c r="M83" s="29">
        <v>0</v>
      </c>
      <c r="N83" s="30">
        <f t="shared" si="16"/>
        <v>0</v>
      </c>
      <c r="O83" s="29">
        <v>0</v>
      </c>
      <c r="P83" s="30">
        <f t="shared" si="17"/>
        <v>0</v>
      </c>
      <c r="Q83" s="29">
        <v>63</v>
      </c>
      <c r="R83" s="30">
        <f t="shared" si="18"/>
        <v>0.009187691410237713</v>
      </c>
      <c r="S83" s="29">
        <v>15</v>
      </c>
      <c r="T83" s="30">
        <f t="shared" si="19"/>
        <v>0.002187545573866122</v>
      </c>
      <c r="U83" s="29">
        <v>131</v>
      </c>
      <c r="V83" s="30">
        <f t="shared" si="20"/>
        <v>0.019104564678430802</v>
      </c>
      <c r="W83" s="38">
        <f t="shared" si="21"/>
        <v>6857</v>
      </c>
      <c r="X83" s="61">
        <v>0</v>
      </c>
      <c r="Y83" s="61">
        <v>0</v>
      </c>
      <c r="Z83" s="61">
        <v>0</v>
      </c>
    </row>
    <row r="84" spans="1:26" ht="12.75">
      <c r="A84" s="35">
        <v>77</v>
      </c>
      <c r="B84" s="36" t="s">
        <v>82</v>
      </c>
      <c r="C84" s="37">
        <v>3592</v>
      </c>
      <c r="D84" s="30">
        <f t="shared" si="11"/>
        <v>0.17997795370277583</v>
      </c>
      <c r="E84" s="29">
        <v>6768</v>
      </c>
      <c r="F84" s="30">
        <f t="shared" si="12"/>
        <v>0.33911213548451746</v>
      </c>
      <c r="G84" s="29">
        <v>6981</v>
      </c>
      <c r="H84" s="30">
        <f t="shared" si="13"/>
        <v>0.3497845475498547</v>
      </c>
      <c r="I84" s="29">
        <v>1500</v>
      </c>
      <c r="J84" s="30">
        <f t="shared" si="14"/>
        <v>0.07515783144603667</v>
      </c>
      <c r="K84" s="29">
        <v>424</v>
      </c>
      <c r="L84" s="30">
        <f t="shared" si="15"/>
        <v>0.021244613688746368</v>
      </c>
      <c r="M84" s="29">
        <v>72</v>
      </c>
      <c r="N84" s="30">
        <f t="shared" si="16"/>
        <v>0.0036075759094097606</v>
      </c>
      <c r="O84" s="29">
        <v>0</v>
      </c>
      <c r="P84" s="30">
        <f t="shared" si="17"/>
        <v>0</v>
      </c>
      <c r="Q84" s="29">
        <v>232</v>
      </c>
      <c r="R84" s="30">
        <f t="shared" si="18"/>
        <v>0.011624411263653673</v>
      </c>
      <c r="S84" s="29">
        <v>11</v>
      </c>
      <c r="T84" s="30">
        <f t="shared" si="19"/>
        <v>0.000551157430604269</v>
      </c>
      <c r="U84" s="29">
        <v>378</v>
      </c>
      <c r="V84" s="30">
        <f t="shared" si="20"/>
        <v>0.01893977352440124</v>
      </c>
      <c r="W84" s="38">
        <f t="shared" si="21"/>
        <v>19958</v>
      </c>
      <c r="X84" s="61">
        <v>0</v>
      </c>
      <c r="Y84" s="61">
        <v>0</v>
      </c>
      <c r="Z84" s="61">
        <v>0</v>
      </c>
    </row>
    <row r="85" spans="1:26" ht="12.75">
      <c r="A85" s="35">
        <v>78</v>
      </c>
      <c r="B85" s="36" t="s">
        <v>83</v>
      </c>
      <c r="C85" s="37">
        <v>54</v>
      </c>
      <c r="D85" s="30">
        <f t="shared" si="11"/>
        <v>0.02601156069364162</v>
      </c>
      <c r="E85" s="29">
        <v>571</v>
      </c>
      <c r="F85" s="30">
        <f t="shared" si="12"/>
        <v>0.2750481695568401</v>
      </c>
      <c r="G85" s="29">
        <v>370</v>
      </c>
      <c r="H85" s="30">
        <f t="shared" si="13"/>
        <v>0.17822736030828518</v>
      </c>
      <c r="I85" s="29">
        <v>975</v>
      </c>
      <c r="J85" s="30">
        <f t="shared" si="14"/>
        <v>0.46965317919075145</v>
      </c>
      <c r="K85" s="29">
        <v>0</v>
      </c>
      <c r="L85" s="30">
        <f t="shared" si="15"/>
        <v>0</v>
      </c>
      <c r="M85" s="29">
        <v>0</v>
      </c>
      <c r="N85" s="30">
        <f t="shared" si="16"/>
        <v>0</v>
      </c>
      <c r="O85" s="29">
        <v>3</v>
      </c>
      <c r="P85" s="30">
        <f t="shared" si="17"/>
        <v>0.001445086705202312</v>
      </c>
      <c r="Q85" s="29">
        <v>41</v>
      </c>
      <c r="R85" s="30">
        <f t="shared" si="18"/>
        <v>0.0197495183044316</v>
      </c>
      <c r="S85" s="29">
        <v>0</v>
      </c>
      <c r="T85" s="30">
        <f t="shared" si="19"/>
        <v>0</v>
      </c>
      <c r="U85" s="29">
        <v>62</v>
      </c>
      <c r="V85" s="30">
        <f t="shared" si="20"/>
        <v>0.029865125240847785</v>
      </c>
      <c r="W85" s="38">
        <f t="shared" si="21"/>
        <v>2076</v>
      </c>
      <c r="X85" s="61">
        <v>0</v>
      </c>
      <c r="Y85" s="61">
        <v>0</v>
      </c>
      <c r="Z85" s="61">
        <v>0</v>
      </c>
    </row>
    <row r="86" spans="1:26" ht="12.75">
      <c r="A86" s="35">
        <v>79</v>
      </c>
      <c r="B86" s="36" t="s">
        <v>84</v>
      </c>
      <c r="C86" s="37">
        <v>983</v>
      </c>
      <c r="D86" s="30">
        <f t="shared" si="11"/>
        <v>0.2914319596798103</v>
      </c>
      <c r="E86" s="29">
        <v>1127</v>
      </c>
      <c r="F86" s="30">
        <f t="shared" si="12"/>
        <v>0.3341239252890602</v>
      </c>
      <c r="G86" s="29">
        <v>951</v>
      </c>
      <c r="H86" s="30">
        <f t="shared" si="13"/>
        <v>0.28194485621108806</v>
      </c>
      <c r="I86" s="29">
        <v>222</v>
      </c>
      <c r="J86" s="30">
        <f t="shared" si="14"/>
        <v>0.0658167803142603</v>
      </c>
      <c r="K86" s="29">
        <v>0</v>
      </c>
      <c r="L86" s="30">
        <f t="shared" si="15"/>
        <v>0</v>
      </c>
      <c r="M86" s="29">
        <v>14</v>
      </c>
      <c r="N86" s="30">
        <f t="shared" si="16"/>
        <v>0.004150607767565965</v>
      </c>
      <c r="O86" s="29">
        <v>0</v>
      </c>
      <c r="P86" s="30">
        <f t="shared" si="17"/>
        <v>0</v>
      </c>
      <c r="Q86" s="29">
        <v>0</v>
      </c>
      <c r="R86" s="30">
        <f t="shared" si="18"/>
        <v>0</v>
      </c>
      <c r="S86" s="29">
        <v>2</v>
      </c>
      <c r="T86" s="30">
        <f t="shared" si="19"/>
        <v>0.0005929439667951378</v>
      </c>
      <c r="U86" s="29">
        <v>74</v>
      </c>
      <c r="V86" s="30">
        <f t="shared" si="20"/>
        <v>0.021938926771420102</v>
      </c>
      <c r="W86" s="38">
        <f t="shared" si="21"/>
        <v>3373</v>
      </c>
      <c r="X86" s="61">
        <v>0</v>
      </c>
      <c r="Y86" s="61">
        <v>0</v>
      </c>
      <c r="Z86" s="61">
        <v>0</v>
      </c>
    </row>
    <row r="87" spans="1:26" ht="12.75">
      <c r="A87" s="35">
        <v>80</v>
      </c>
      <c r="B87" s="36" t="s">
        <v>85</v>
      </c>
      <c r="C87" s="37">
        <v>2388</v>
      </c>
      <c r="D87" s="30">
        <f t="shared" si="11"/>
        <v>0.5305487669406799</v>
      </c>
      <c r="E87" s="29">
        <v>1958</v>
      </c>
      <c r="F87" s="30">
        <f t="shared" si="12"/>
        <v>0.43501444123528105</v>
      </c>
      <c r="G87" s="29">
        <v>27</v>
      </c>
      <c r="H87" s="30">
        <f t="shared" si="13"/>
        <v>0.005998666962897134</v>
      </c>
      <c r="I87" s="29">
        <v>21</v>
      </c>
      <c r="J87" s="30">
        <f t="shared" si="14"/>
        <v>0.004665629860031105</v>
      </c>
      <c r="K87" s="29">
        <v>0</v>
      </c>
      <c r="L87" s="30">
        <f t="shared" si="15"/>
        <v>0</v>
      </c>
      <c r="M87" s="29">
        <v>7</v>
      </c>
      <c r="N87" s="30">
        <f t="shared" si="16"/>
        <v>0.0015552099533437014</v>
      </c>
      <c r="O87" s="29">
        <v>10</v>
      </c>
      <c r="P87" s="30">
        <f t="shared" si="17"/>
        <v>0.002221728504776716</v>
      </c>
      <c r="Q87" s="29">
        <v>0</v>
      </c>
      <c r="R87" s="30">
        <f t="shared" si="18"/>
        <v>0</v>
      </c>
      <c r="S87" s="29">
        <v>0</v>
      </c>
      <c r="T87" s="30">
        <f t="shared" si="19"/>
        <v>0</v>
      </c>
      <c r="U87" s="29">
        <v>90</v>
      </c>
      <c r="V87" s="30">
        <f t="shared" si="20"/>
        <v>0.019995556542990445</v>
      </c>
      <c r="W87" s="38">
        <f t="shared" si="21"/>
        <v>4501</v>
      </c>
      <c r="X87" s="61">
        <v>0</v>
      </c>
      <c r="Y87" s="61">
        <v>0</v>
      </c>
      <c r="Z87" s="61">
        <v>0</v>
      </c>
    </row>
    <row r="88" spans="1:26" ht="15.75">
      <c r="A88" s="35">
        <v>81</v>
      </c>
      <c r="B88" s="45" t="s">
        <v>141</v>
      </c>
      <c r="C88" s="37">
        <f>3584-'Cas anuladas TEEM'!E98</f>
        <v>3484</v>
      </c>
      <c r="D88" s="30">
        <f t="shared" si="11"/>
        <v>0.4127473048217036</v>
      </c>
      <c r="E88" s="29">
        <f>4142-'Cas anuladas TEEM'!F98</f>
        <v>4020</v>
      </c>
      <c r="F88" s="30">
        <f t="shared" si="12"/>
        <v>0.47624689017888877</v>
      </c>
      <c r="G88" s="29">
        <f>551-'Cas anuladas TEEM'!G98</f>
        <v>526</v>
      </c>
      <c r="H88" s="30">
        <f t="shared" si="13"/>
        <v>0.06231489160052126</v>
      </c>
      <c r="I88" s="29">
        <f>57-'Cas anuladas TEEM'!H98</f>
        <v>57</v>
      </c>
      <c r="J88" s="30">
        <f t="shared" si="14"/>
        <v>0.006752754412984244</v>
      </c>
      <c r="K88" s="29">
        <f>3-'Cas anuladas TEEM'!I98</f>
        <v>3</v>
      </c>
      <c r="L88" s="30">
        <f t="shared" si="15"/>
        <v>0.0003554081269991707</v>
      </c>
      <c r="M88" s="29">
        <f>19-'Cas anuladas TEEM'!J98</f>
        <v>19</v>
      </c>
      <c r="N88" s="30">
        <f t="shared" si="16"/>
        <v>0.0022509181376614146</v>
      </c>
      <c r="O88" s="29">
        <f>30-'Cas anuladas TEEM'!K98</f>
        <v>30</v>
      </c>
      <c r="P88" s="30">
        <f t="shared" si="17"/>
        <v>0.003554081269991707</v>
      </c>
      <c r="Q88" s="29">
        <f>0-'Cas anuladas TEEM'!L98</f>
        <v>0</v>
      </c>
      <c r="R88" s="30">
        <f t="shared" si="18"/>
        <v>0</v>
      </c>
      <c r="S88" s="29">
        <f>0-'Cas anuladas TEEM'!M98</f>
        <v>0</v>
      </c>
      <c r="T88" s="30">
        <f t="shared" si="19"/>
        <v>0</v>
      </c>
      <c r="U88" s="29">
        <f>302-'Cas anuladas TEEM'!N98</f>
        <v>302</v>
      </c>
      <c r="V88" s="30">
        <f t="shared" si="20"/>
        <v>0.03577775145124985</v>
      </c>
      <c r="W88" s="38">
        <f t="shared" si="21"/>
        <v>8441</v>
      </c>
      <c r="X88" s="61">
        <f>'Cas anuladas TEEM'!O98</f>
        <v>247</v>
      </c>
      <c r="Y88" s="61">
        <v>0</v>
      </c>
      <c r="Z88" s="61">
        <v>0</v>
      </c>
    </row>
    <row r="89" spans="1:26" ht="15">
      <c r="A89" s="35">
        <v>82</v>
      </c>
      <c r="B89" s="36" t="s">
        <v>220</v>
      </c>
      <c r="C89" s="37">
        <f>16471+'Cas anuladas TEPJF'!E90</f>
        <v>16318</v>
      </c>
      <c r="D89" s="30">
        <f t="shared" si="11"/>
        <v>0.31297709923664124</v>
      </c>
      <c r="E89" s="29">
        <f>26227+'Cas anuladas TEPJF'!F90</f>
        <v>25959</v>
      </c>
      <c r="F89" s="30">
        <f t="shared" si="12"/>
        <v>0.4978902144309333</v>
      </c>
      <c r="G89" s="29">
        <f>6955+'Cas anuladas TEPJF'!G90</f>
        <v>6906</v>
      </c>
      <c r="H89" s="30">
        <f t="shared" si="13"/>
        <v>0.13245617399976983</v>
      </c>
      <c r="I89" s="29">
        <f>301+'Cas anuladas TEPJF'!H90</f>
        <v>299</v>
      </c>
      <c r="J89" s="30">
        <f t="shared" si="14"/>
        <v>0.005734780774099505</v>
      </c>
      <c r="K89" s="29">
        <f>979+'Cas anuladas TEPJF'!I90</f>
        <v>976</v>
      </c>
      <c r="L89" s="30">
        <f t="shared" si="15"/>
        <v>0.018719551958264604</v>
      </c>
      <c r="M89" s="29">
        <f>189+'Cas anuladas TEPJF'!J90</f>
        <v>188</v>
      </c>
      <c r="N89" s="30">
        <f t="shared" si="16"/>
        <v>0.0036058153362231</v>
      </c>
      <c r="O89" s="29">
        <f>181+'Cas anuladas TEPJF'!K90</f>
        <v>175</v>
      </c>
      <c r="P89" s="30">
        <f t="shared" si="17"/>
        <v>0.003356477041697035</v>
      </c>
      <c r="Q89" s="29">
        <f>368+'Cas anuladas TEPJF'!L90</f>
        <v>360</v>
      </c>
      <c r="R89" s="30">
        <f t="shared" si="18"/>
        <v>0.006904752771491043</v>
      </c>
      <c r="S89" s="29">
        <f>19+'Cas anuladas TEPJF'!M90</f>
        <v>19</v>
      </c>
      <c r="T89" s="30">
        <f t="shared" si="19"/>
        <v>0.0003644175073842495</v>
      </c>
      <c r="U89" s="29">
        <f>952+'Cas anuladas TEPJF'!N90</f>
        <v>938</v>
      </c>
      <c r="V89" s="30">
        <f t="shared" si="20"/>
        <v>0.017990716943496108</v>
      </c>
      <c r="W89" s="38">
        <f t="shared" si="21"/>
        <v>52138</v>
      </c>
      <c r="X89" s="61">
        <v>0</v>
      </c>
      <c r="Y89" s="61">
        <v>0</v>
      </c>
      <c r="Z89" s="61">
        <f>-'Cas anuladas TEPJF'!O90</f>
        <v>504</v>
      </c>
    </row>
    <row r="90" spans="1:26" ht="12.75">
      <c r="A90" s="35">
        <v>83</v>
      </c>
      <c r="B90" s="36" t="s">
        <v>25</v>
      </c>
      <c r="C90" s="37">
        <v>1064</v>
      </c>
      <c r="D90" s="30">
        <f t="shared" si="11"/>
        <v>0.04946536494653649</v>
      </c>
      <c r="E90" s="29">
        <v>8958</v>
      </c>
      <c r="F90" s="30">
        <f t="shared" si="12"/>
        <v>0.41645746164574615</v>
      </c>
      <c r="G90" s="29">
        <v>9912</v>
      </c>
      <c r="H90" s="30">
        <f t="shared" si="13"/>
        <v>0.46080892608089263</v>
      </c>
      <c r="I90" s="29">
        <v>396</v>
      </c>
      <c r="J90" s="30">
        <f t="shared" si="14"/>
        <v>0.018410041841004185</v>
      </c>
      <c r="K90" s="29">
        <v>179</v>
      </c>
      <c r="L90" s="30">
        <f t="shared" si="15"/>
        <v>0.008321710832171083</v>
      </c>
      <c r="M90" s="29">
        <v>55</v>
      </c>
      <c r="N90" s="30">
        <f t="shared" si="16"/>
        <v>0.0025569502556950256</v>
      </c>
      <c r="O90" s="29">
        <v>47</v>
      </c>
      <c r="P90" s="30">
        <f t="shared" si="17"/>
        <v>0.002185030218503022</v>
      </c>
      <c r="Q90" s="29">
        <v>50</v>
      </c>
      <c r="R90" s="30">
        <f t="shared" si="18"/>
        <v>0.0023245002324500234</v>
      </c>
      <c r="S90" s="29">
        <v>8</v>
      </c>
      <c r="T90" s="30">
        <f t="shared" si="19"/>
        <v>0.00037192003719200374</v>
      </c>
      <c r="U90" s="29">
        <v>841</v>
      </c>
      <c r="V90" s="30">
        <f t="shared" si="20"/>
        <v>0.03909809390980939</v>
      </c>
      <c r="W90" s="38">
        <f t="shared" si="21"/>
        <v>21510</v>
      </c>
      <c r="X90" s="61">
        <v>0</v>
      </c>
      <c r="Y90" s="61">
        <v>0</v>
      </c>
      <c r="Z90" s="61">
        <v>0</v>
      </c>
    </row>
    <row r="91" spans="1:26" ht="12.75">
      <c r="A91" s="35">
        <v>84</v>
      </c>
      <c r="B91" s="36" t="s">
        <v>86</v>
      </c>
      <c r="C91" s="37">
        <v>526</v>
      </c>
      <c r="D91" s="30">
        <f t="shared" si="11"/>
        <v>0.179890560875513</v>
      </c>
      <c r="E91" s="29">
        <v>952</v>
      </c>
      <c r="F91" s="30">
        <f t="shared" si="12"/>
        <v>0.32558139534883723</v>
      </c>
      <c r="G91" s="29">
        <v>1331</v>
      </c>
      <c r="H91" s="30">
        <f t="shared" si="13"/>
        <v>0.4551983584131327</v>
      </c>
      <c r="I91" s="29">
        <v>33</v>
      </c>
      <c r="J91" s="30">
        <f t="shared" si="14"/>
        <v>0.011285909712722298</v>
      </c>
      <c r="K91" s="29">
        <v>0</v>
      </c>
      <c r="L91" s="30">
        <f t="shared" si="15"/>
        <v>0</v>
      </c>
      <c r="M91" s="29">
        <v>8</v>
      </c>
      <c r="N91" s="30">
        <f t="shared" si="16"/>
        <v>0.0027359781121751026</v>
      </c>
      <c r="O91" s="29">
        <v>0</v>
      </c>
      <c r="P91" s="30">
        <f t="shared" si="17"/>
        <v>0</v>
      </c>
      <c r="Q91" s="29">
        <v>0</v>
      </c>
      <c r="R91" s="30">
        <f t="shared" si="18"/>
        <v>0</v>
      </c>
      <c r="S91" s="29">
        <v>0</v>
      </c>
      <c r="T91" s="30">
        <f t="shared" si="19"/>
        <v>0</v>
      </c>
      <c r="U91" s="29">
        <v>74</v>
      </c>
      <c r="V91" s="30">
        <f t="shared" si="20"/>
        <v>0.0253077975376197</v>
      </c>
      <c r="W91" s="38">
        <f t="shared" si="21"/>
        <v>2924</v>
      </c>
      <c r="X91" s="61">
        <v>0</v>
      </c>
      <c r="Y91" s="61">
        <v>0</v>
      </c>
      <c r="Z91" s="61">
        <v>0</v>
      </c>
    </row>
    <row r="92" spans="1:26" ht="12.75">
      <c r="A92" s="35">
        <v>85</v>
      </c>
      <c r="B92" s="36" t="s">
        <v>87</v>
      </c>
      <c r="C92" s="37">
        <v>4789</v>
      </c>
      <c r="D92" s="30">
        <f t="shared" si="11"/>
        <v>0.48782723846388915</v>
      </c>
      <c r="E92" s="29">
        <v>4072</v>
      </c>
      <c r="F92" s="30">
        <f t="shared" si="12"/>
        <v>0.4147906692472242</v>
      </c>
      <c r="G92" s="29">
        <v>627</v>
      </c>
      <c r="H92" s="30">
        <f t="shared" si="13"/>
        <v>0.06386879902210452</v>
      </c>
      <c r="I92" s="29">
        <v>102</v>
      </c>
      <c r="J92" s="30">
        <f t="shared" si="14"/>
        <v>0.010390139553835184</v>
      </c>
      <c r="K92" s="29">
        <v>0</v>
      </c>
      <c r="L92" s="30">
        <f t="shared" si="15"/>
        <v>0</v>
      </c>
      <c r="M92" s="29">
        <v>0</v>
      </c>
      <c r="N92" s="30">
        <f t="shared" si="16"/>
        <v>0</v>
      </c>
      <c r="O92" s="29">
        <v>17</v>
      </c>
      <c r="P92" s="30">
        <f t="shared" si="17"/>
        <v>0.0017316899256391973</v>
      </c>
      <c r="Q92" s="29">
        <v>0</v>
      </c>
      <c r="R92" s="30">
        <f t="shared" si="18"/>
        <v>0</v>
      </c>
      <c r="S92" s="29">
        <v>5</v>
      </c>
      <c r="T92" s="30">
        <f t="shared" si="19"/>
        <v>0.0005093205663644698</v>
      </c>
      <c r="U92" s="29">
        <v>205</v>
      </c>
      <c r="V92" s="30">
        <f t="shared" si="20"/>
        <v>0.020882143220943263</v>
      </c>
      <c r="W92" s="38">
        <f t="shared" si="21"/>
        <v>9817</v>
      </c>
      <c r="X92" s="61">
        <v>0</v>
      </c>
      <c r="Y92" s="61">
        <v>0</v>
      </c>
      <c r="Z92" s="61">
        <v>0</v>
      </c>
    </row>
    <row r="93" spans="1:26" ht="12.75">
      <c r="A93" s="35">
        <v>86</v>
      </c>
      <c r="B93" s="36" t="s">
        <v>88</v>
      </c>
      <c r="C93" s="37">
        <v>2214</v>
      </c>
      <c r="D93" s="30">
        <f t="shared" si="11"/>
        <v>0.11571025399811853</v>
      </c>
      <c r="E93" s="29">
        <v>8579</v>
      </c>
      <c r="F93" s="30">
        <f t="shared" si="12"/>
        <v>0.44836416849587124</v>
      </c>
      <c r="G93" s="29">
        <v>6871</v>
      </c>
      <c r="H93" s="30">
        <f t="shared" si="13"/>
        <v>0.35909898609804536</v>
      </c>
      <c r="I93" s="29">
        <v>315</v>
      </c>
      <c r="J93" s="30">
        <f t="shared" si="14"/>
        <v>0.016462841015992474</v>
      </c>
      <c r="K93" s="29">
        <v>0</v>
      </c>
      <c r="L93" s="30">
        <f t="shared" si="15"/>
        <v>0</v>
      </c>
      <c r="M93" s="29">
        <v>38</v>
      </c>
      <c r="N93" s="30">
        <f t="shared" si="16"/>
        <v>0.0019859935193895684</v>
      </c>
      <c r="O93" s="29">
        <v>106</v>
      </c>
      <c r="P93" s="30">
        <f t="shared" si="17"/>
        <v>0.005539876659349848</v>
      </c>
      <c r="Q93" s="29">
        <v>0</v>
      </c>
      <c r="R93" s="30">
        <f t="shared" si="18"/>
        <v>0</v>
      </c>
      <c r="S93" s="29">
        <v>8</v>
      </c>
      <c r="T93" s="30">
        <f t="shared" si="19"/>
        <v>0.0004181038988188565</v>
      </c>
      <c r="U93" s="29">
        <v>1003</v>
      </c>
      <c r="V93" s="30">
        <f t="shared" si="20"/>
        <v>0.052419776314414135</v>
      </c>
      <c r="W93" s="38">
        <f t="shared" si="21"/>
        <v>19134</v>
      </c>
      <c r="X93" s="61">
        <v>0</v>
      </c>
      <c r="Y93" s="61">
        <v>0</v>
      </c>
      <c r="Z93" s="61">
        <v>0</v>
      </c>
    </row>
    <row r="94" spans="1:26" ht="12.75">
      <c r="A94" s="35">
        <v>87</v>
      </c>
      <c r="B94" s="36" t="s">
        <v>89</v>
      </c>
      <c r="C94" s="37">
        <v>4115</v>
      </c>
      <c r="D94" s="30">
        <f t="shared" si="11"/>
        <v>0.40236628532316415</v>
      </c>
      <c r="E94" s="29">
        <v>4897</v>
      </c>
      <c r="F94" s="30">
        <f t="shared" si="12"/>
        <v>0.4788305465923536</v>
      </c>
      <c r="G94" s="29">
        <v>641</v>
      </c>
      <c r="H94" s="30">
        <f t="shared" si="13"/>
        <v>0.06267722694827417</v>
      </c>
      <c r="I94" s="29">
        <v>150</v>
      </c>
      <c r="J94" s="30">
        <f t="shared" si="14"/>
        <v>0.014667057788207686</v>
      </c>
      <c r="K94" s="29">
        <v>1</v>
      </c>
      <c r="L94" s="30">
        <f t="shared" si="15"/>
        <v>9.77803852547179E-05</v>
      </c>
      <c r="M94" s="29">
        <v>1</v>
      </c>
      <c r="N94" s="30">
        <f t="shared" si="16"/>
        <v>9.77803852547179E-05</v>
      </c>
      <c r="O94" s="29">
        <v>27</v>
      </c>
      <c r="P94" s="30">
        <f t="shared" si="17"/>
        <v>0.0026400704018773834</v>
      </c>
      <c r="Q94" s="29">
        <v>16</v>
      </c>
      <c r="R94" s="30">
        <f t="shared" si="18"/>
        <v>0.0015644861640754864</v>
      </c>
      <c r="S94" s="29">
        <v>5</v>
      </c>
      <c r="T94" s="30">
        <f t="shared" si="19"/>
        <v>0.0004889019262735895</v>
      </c>
      <c r="U94" s="29">
        <v>374</v>
      </c>
      <c r="V94" s="30">
        <f t="shared" si="20"/>
        <v>0.0365698640852645</v>
      </c>
      <c r="W94" s="38">
        <f t="shared" si="21"/>
        <v>10227</v>
      </c>
      <c r="X94" s="61">
        <v>0</v>
      </c>
      <c r="Y94" s="61">
        <v>0</v>
      </c>
      <c r="Z94" s="61">
        <v>0</v>
      </c>
    </row>
    <row r="95" spans="1:26" ht="12.75">
      <c r="A95" s="35">
        <v>88</v>
      </c>
      <c r="B95" s="36" t="s">
        <v>20</v>
      </c>
      <c r="C95" s="37">
        <v>3315</v>
      </c>
      <c r="D95" s="30">
        <f t="shared" si="11"/>
        <v>0.17979173446143834</v>
      </c>
      <c r="E95" s="29">
        <v>8586</v>
      </c>
      <c r="F95" s="30">
        <f t="shared" si="12"/>
        <v>0.4656687276277254</v>
      </c>
      <c r="G95" s="29">
        <v>4514</v>
      </c>
      <c r="H95" s="30">
        <f t="shared" si="13"/>
        <v>0.24482047944462523</v>
      </c>
      <c r="I95" s="29">
        <v>1119</v>
      </c>
      <c r="J95" s="30">
        <f t="shared" si="14"/>
        <v>0.060689879596485516</v>
      </c>
      <c r="K95" s="29">
        <v>1</v>
      </c>
      <c r="L95" s="30">
        <f t="shared" si="15"/>
        <v>5.423581733376722E-05</v>
      </c>
      <c r="M95" s="29">
        <v>46</v>
      </c>
      <c r="N95" s="30">
        <f t="shared" si="16"/>
        <v>0.002494847597353292</v>
      </c>
      <c r="O95" s="29">
        <v>118</v>
      </c>
      <c r="P95" s="30">
        <f t="shared" si="17"/>
        <v>0.006399826445384532</v>
      </c>
      <c r="Q95" s="29">
        <v>1</v>
      </c>
      <c r="R95" s="30">
        <f t="shared" si="18"/>
        <v>5.423581733376722E-05</v>
      </c>
      <c r="S95" s="29">
        <v>9</v>
      </c>
      <c r="T95" s="30">
        <f t="shared" si="19"/>
        <v>0.00048812235600390497</v>
      </c>
      <c r="U95" s="29">
        <v>729</v>
      </c>
      <c r="V95" s="30">
        <f t="shared" si="20"/>
        <v>0.0395379108363163</v>
      </c>
      <c r="W95" s="38">
        <f t="shared" si="21"/>
        <v>18438</v>
      </c>
      <c r="X95" s="61">
        <v>0</v>
      </c>
      <c r="Y95" s="61">
        <v>0</v>
      </c>
      <c r="Z95" s="61">
        <v>0</v>
      </c>
    </row>
    <row r="96" spans="1:26" ht="12.75">
      <c r="A96" s="35">
        <v>89</v>
      </c>
      <c r="B96" s="36" t="s">
        <v>24</v>
      </c>
      <c r="C96" s="37">
        <v>7597</v>
      </c>
      <c r="D96" s="30">
        <f t="shared" si="11"/>
        <v>0.36269454788503774</v>
      </c>
      <c r="E96" s="29">
        <v>9338</v>
      </c>
      <c r="F96" s="30">
        <f t="shared" si="12"/>
        <v>0.4458130430631147</v>
      </c>
      <c r="G96" s="29">
        <v>3032</v>
      </c>
      <c r="H96" s="30">
        <f t="shared" si="13"/>
        <v>0.14475317483051656</v>
      </c>
      <c r="I96" s="29">
        <v>229</v>
      </c>
      <c r="J96" s="30">
        <f t="shared" si="14"/>
        <v>0.010932875011935453</v>
      </c>
      <c r="K96" s="29">
        <v>0</v>
      </c>
      <c r="L96" s="30">
        <f t="shared" si="15"/>
        <v>0</v>
      </c>
      <c r="M96" s="29">
        <v>65</v>
      </c>
      <c r="N96" s="30">
        <f t="shared" si="16"/>
        <v>0.0031032177981476176</v>
      </c>
      <c r="O96" s="29">
        <v>158</v>
      </c>
      <c r="P96" s="30">
        <f t="shared" si="17"/>
        <v>0.007543206340112671</v>
      </c>
      <c r="Q96" s="29">
        <v>2</v>
      </c>
      <c r="R96" s="30">
        <f t="shared" si="18"/>
        <v>9.548362455838824E-05</v>
      </c>
      <c r="S96" s="29">
        <v>4</v>
      </c>
      <c r="T96" s="30">
        <f t="shared" si="19"/>
        <v>0.00019096724911677647</v>
      </c>
      <c r="U96" s="29">
        <v>521</v>
      </c>
      <c r="V96" s="30">
        <f t="shared" si="20"/>
        <v>0.024873484197460136</v>
      </c>
      <c r="W96" s="38">
        <f t="shared" si="21"/>
        <v>20946</v>
      </c>
      <c r="X96" s="61">
        <v>0</v>
      </c>
      <c r="Y96" s="61">
        <v>0</v>
      </c>
      <c r="Z96" s="61">
        <v>0</v>
      </c>
    </row>
    <row r="97" spans="1:26" ht="12.75">
      <c r="A97" s="35">
        <v>90</v>
      </c>
      <c r="B97" s="36" t="s">
        <v>90</v>
      </c>
      <c r="C97" s="37">
        <v>234</v>
      </c>
      <c r="D97" s="30">
        <f t="shared" si="11"/>
        <v>0.06220095693779904</v>
      </c>
      <c r="E97" s="29">
        <v>1128</v>
      </c>
      <c r="F97" s="30">
        <f t="shared" si="12"/>
        <v>0.29984051036682613</v>
      </c>
      <c r="G97" s="29">
        <v>1279</v>
      </c>
      <c r="H97" s="30">
        <f t="shared" si="13"/>
        <v>0.3399787347155768</v>
      </c>
      <c r="I97" s="29">
        <v>709</v>
      </c>
      <c r="J97" s="30">
        <f t="shared" si="14"/>
        <v>0.1884635832004253</v>
      </c>
      <c r="K97" s="29">
        <v>5</v>
      </c>
      <c r="L97" s="30">
        <f t="shared" si="15"/>
        <v>0.0013290802764486975</v>
      </c>
      <c r="M97" s="29">
        <v>21</v>
      </c>
      <c r="N97" s="30">
        <f t="shared" si="16"/>
        <v>0.005582137161084529</v>
      </c>
      <c r="O97" s="29">
        <v>225</v>
      </c>
      <c r="P97" s="30">
        <f t="shared" si="17"/>
        <v>0.05980861244019139</v>
      </c>
      <c r="Q97" s="29">
        <v>66</v>
      </c>
      <c r="R97" s="30">
        <f t="shared" si="18"/>
        <v>0.017543859649122806</v>
      </c>
      <c r="S97" s="29">
        <v>0</v>
      </c>
      <c r="T97" s="30">
        <f t="shared" si="19"/>
        <v>0</v>
      </c>
      <c r="U97" s="29">
        <v>95</v>
      </c>
      <c r="V97" s="30">
        <f t="shared" si="20"/>
        <v>0.025252525252525252</v>
      </c>
      <c r="W97" s="38">
        <f t="shared" si="21"/>
        <v>3762</v>
      </c>
      <c r="X97" s="61">
        <v>0</v>
      </c>
      <c r="Y97" s="61">
        <v>0</v>
      </c>
      <c r="Z97" s="61">
        <v>0</v>
      </c>
    </row>
    <row r="98" spans="1:26" ht="12.75">
      <c r="A98" s="35">
        <v>91</v>
      </c>
      <c r="B98" s="36" t="s">
        <v>22</v>
      </c>
      <c r="C98" s="37">
        <v>2489</v>
      </c>
      <c r="D98" s="30">
        <f t="shared" si="11"/>
        <v>0.14013061592163045</v>
      </c>
      <c r="E98" s="29">
        <v>7524</v>
      </c>
      <c r="F98" s="30">
        <f t="shared" si="12"/>
        <v>0.4236009458394325</v>
      </c>
      <c r="G98" s="29">
        <v>5927</v>
      </c>
      <c r="H98" s="30">
        <f t="shared" si="13"/>
        <v>0.3336898997860601</v>
      </c>
      <c r="I98" s="29">
        <v>1149</v>
      </c>
      <c r="J98" s="30">
        <f t="shared" si="14"/>
        <v>0.06468866118680329</v>
      </c>
      <c r="K98" s="29">
        <v>61</v>
      </c>
      <c r="L98" s="30">
        <f t="shared" si="15"/>
        <v>0.0034342979394212363</v>
      </c>
      <c r="M98" s="29">
        <v>85</v>
      </c>
      <c r="N98" s="30">
        <f t="shared" si="16"/>
        <v>0.0047854971287017226</v>
      </c>
      <c r="O98" s="29">
        <v>0</v>
      </c>
      <c r="P98" s="30">
        <f t="shared" si="17"/>
        <v>0</v>
      </c>
      <c r="Q98" s="29">
        <v>0</v>
      </c>
      <c r="R98" s="30">
        <f t="shared" si="18"/>
        <v>0</v>
      </c>
      <c r="S98" s="29">
        <v>4</v>
      </c>
      <c r="T98" s="30">
        <f t="shared" si="19"/>
        <v>0.00022519986488008108</v>
      </c>
      <c r="U98" s="29">
        <v>523</v>
      </c>
      <c r="V98" s="30">
        <f t="shared" si="20"/>
        <v>0.0294448823330706</v>
      </c>
      <c r="W98" s="38">
        <f t="shared" si="21"/>
        <v>17762</v>
      </c>
      <c r="X98" s="61">
        <v>0</v>
      </c>
      <c r="Y98" s="61">
        <v>0</v>
      </c>
      <c r="Z98" s="61">
        <v>0</v>
      </c>
    </row>
    <row r="99" spans="1:26" ht="12.75">
      <c r="A99" s="35">
        <v>92</v>
      </c>
      <c r="B99" s="36" t="s">
        <v>91</v>
      </c>
      <c r="C99" s="37">
        <v>5330</v>
      </c>
      <c r="D99" s="30">
        <f t="shared" si="11"/>
        <v>0.2959795646379387</v>
      </c>
      <c r="E99" s="29">
        <v>4668</v>
      </c>
      <c r="F99" s="30">
        <f t="shared" si="12"/>
        <v>0.25921812527765437</v>
      </c>
      <c r="G99" s="29">
        <v>4300</v>
      </c>
      <c r="H99" s="30">
        <f t="shared" si="13"/>
        <v>0.23878276321634828</v>
      </c>
      <c r="I99" s="29">
        <v>1072</v>
      </c>
      <c r="J99" s="30">
        <f t="shared" si="14"/>
        <v>0.05952909817858729</v>
      </c>
      <c r="K99" s="29">
        <v>1958</v>
      </c>
      <c r="L99" s="30">
        <f t="shared" si="15"/>
        <v>0.10872945357618836</v>
      </c>
      <c r="M99" s="29">
        <v>0</v>
      </c>
      <c r="N99" s="30">
        <f t="shared" si="16"/>
        <v>0</v>
      </c>
      <c r="O99" s="29">
        <v>95</v>
      </c>
      <c r="P99" s="30">
        <f t="shared" si="17"/>
        <v>0.0052754331408263</v>
      </c>
      <c r="Q99" s="29">
        <v>0</v>
      </c>
      <c r="R99" s="30">
        <f t="shared" si="18"/>
        <v>0</v>
      </c>
      <c r="S99" s="29">
        <v>2</v>
      </c>
      <c r="T99" s="30">
        <f t="shared" si="19"/>
        <v>0.00011106175033318525</v>
      </c>
      <c r="U99" s="29">
        <v>583</v>
      </c>
      <c r="V99" s="30">
        <f t="shared" si="20"/>
        <v>0.0323745002221235</v>
      </c>
      <c r="W99" s="38">
        <f t="shared" si="21"/>
        <v>18008</v>
      </c>
      <c r="X99" s="61">
        <v>0</v>
      </c>
      <c r="Y99" s="61">
        <v>0</v>
      </c>
      <c r="Z99" s="61">
        <v>0</v>
      </c>
    </row>
    <row r="100" spans="1:26" ht="12.75">
      <c r="A100" s="35">
        <v>93</v>
      </c>
      <c r="B100" s="36" t="s">
        <v>92</v>
      </c>
      <c r="C100" s="37">
        <v>1523</v>
      </c>
      <c r="D100" s="30">
        <f t="shared" si="11"/>
        <v>0.11351270775881345</v>
      </c>
      <c r="E100" s="29">
        <v>4431</v>
      </c>
      <c r="F100" s="30">
        <f t="shared" si="12"/>
        <v>0.3302526645300738</v>
      </c>
      <c r="G100" s="29">
        <v>4666</v>
      </c>
      <c r="H100" s="30">
        <f t="shared" si="13"/>
        <v>0.3477677573227994</v>
      </c>
      <c r="I100" s="29">
        <v>436</v>
      </c>
      <c r="J100" s="30">
        <f t="shared" si="14"/>
        <v>0.03249608705373779</v>
      </c>
      <c r="K100" s="29">
        <v>426</v>
      </c>
      <c r="L100" s="30">
        <f t="shared" si="15"/>
        <v>0.031750763956175</v>
      </c>
      <c r="M100" s="29">
        <v>1441</v>
      </c>
      <c r="N100" s="30">
        <f t="shared" si="16"/>
        <v>0.10740105835879854</v>
      </c>
      <c r="O100" s="29">
        <v>29</v>
      </c>
      <c r="P100" s="30">
        <f t="shared" si="17"/>
        <v>0.0021614369829321013</v>
      </c>
      <c r="Q100" s="29">
        <v>136</v>
      </c>
      <c r="R100" s="30">
        <f t="shared" si="18"/>
        <v>0.01013639412685399</v>
      </c>
      <c r="S100" s="29">
        <v>1</v>
      </c>
      <c r="T100" s="30">
        <f t="shared" si="19"/>
        <v>7.453230975627935E-05</v>
      </c>
      <c r="U100" s="29">
        <v>328</v>
      </c>
      <c r="V100" s="30">
        <f t="shared" si="20"/>
        <v>0.024446597600059627</v>
      </c>
      <c r="W100" s="38">
        <f t="shared" si="21"/>
        <v>13417</v>
      </c>
      <c r="X100" s="61">
        <v>0</v>
      </c>
      <c r="Y100" s="61">
        <v>0</v>
      </c>
      <c r="Z100" s="61">
        <v>0</v>
      </c>
    </row>
    <row r="101" spans="1:26" ht="12.75">
      <c r="A101" s="35">
        <v>94</v>
      </c>
      <c r="B101" s="44" t="s">
        <v>93</v>
      </c>
      <c r="C101" s="37">
        <v>532</v>
      </c>
      <c r="D101" s="30">
        <f t="shared" si="11"/>
        <v>0.07043558850787766</v>
      </c>
      <c r="E101" s="29">
        <v>3097</v>
      </c>
      <c r="F101" s="30">
        <f t="shared" si="12"/>
        <v>0.410035747385145</v>
      </c>
      <c r="G101" s="29">
        <v>1714</v>
      </c>
      <c r="H101" s="30">
        <f t="shared" si="13"/>
        <v>0.22692969680921488</v>
      </c>
      <c r="I101" s="29">
        <v>1926</v>
      </c>
      <c r="J101" s="30">
        <f t="shared" si="14"/>
        <v>0.2549980140341586</v>
      </c>
      <c r="K101" s="29">
        <v>0</v>
      </c>
      <c r="L101" s="30">
        <f t="shared" si="15"/>
        <v>0</v>
      </c>
      <c r="M101" s="29">
        <v>33</v>
      </c>
      <c r="N101" s="30">
        <f t="shared" si="16"/>
        <v>0.004369124851052562</v>
      </c>
      <c r="O101" s="29">
        <v>0</v>
      </c>
      <c r="P101" s="30">
        <f t="shared" si="17"/>
        <v>0</v>
      </c>
      <c r="Q101" s="29">
        <v>52</v>
      </c>
      <c r="R101" s="30">
        <f t="shared" si="18"/>
        <v>0.0068846815834767644</v>
      </c>
      <c r="S101" s="29">
        <v>0</v>
      </c>
      <c r="T101" s="30">
        <f t="shared" si="19"/>
        <v>0</v>
      </c>
      <c r="U101" s="29">
        <v>199</v>
      </c>
      <c r="V101" s="30">
        <f t="shared" si="20"/>
        <v>0.02634714682907454</v>
      </c>
      <c r="W101" s="38">
        <f t="shared" si="21"/>
        <v>7553</v>
      </c>
      <c r="X101" s="61">
        <v>0</v>
      </c>
      <c r="Y101" s="61">
        <v>0</v>
      </c>
      <c r="Z101" s="61">
        <v>0</v>
      </c>
    </row>
    <row r="102" spans="1:26" ht="12.75">
      <c r="A102" s="35">
        <v>95</v>
      </c>
      <c r="B102" s="44" t="s">
        <v>94</v>
      </c>
      <c r="C102" s="37">
        <v>277</v>
      </c>
      <c r="D102" s="30">
        <f t="shared" si="11"/>
        <v>0.051554066629443514</v>
      </c>
      <c r="E102" s="29">
        <v>2437</v>
      </c>
      <c r="F102" s="30">
        <f t="shared" si="12"/>
        <v>0.4535641168806998</v>
      </c>
      <c r="G102" s="29">
        <v>1914</v>
      </c>
      <c r="H102" s="30">
        <f t="shared" si="13"/>
        <v>0.3562255723059743</v>
      </c>
      <c r="I102" s="29">
        <v>648</v>
      </c>
      <c r="J102" s="30">
        <f t="shared" si="14"/>
        <v>0.12060301507537688</v>
      </c>
      <c r="K102" s="29">
        <v>0</v>
      </c>
      <c r="L102" s="30">
        <f t="shared" si="15"/>
        <v>0</v>
      </c>
      <c r="M102" s="29">
        <v>21</v>
      </c>
      <c r="N102" s="30">
        <f t="shared" si="16"/>
        <v>0.003908431044109436</v>
      </c>
      <c r="O102" s="29">
        <v>0</v>
      </c>
      <c r="P102" s="30">
        <f t="shared" si="17"/>
        <v>0</v>
      </c>
      <c r="Q102" s="29">
        <v>0</v>
      </c>
      <c r="R102" s="30">
        <f t="shared" si="18"/>
        <v>0</v>
      </c>
      <c r="S102" s="29">
        <v>3</v>
      </c>
      <c r="T102" s="30">
        <f t="shared" si="19"/>
        <v>0.0005583472920156337</v>
      </c>
      <c r="U102" s="29">
        <v>73</v>
      </c>
      <c r="V102" s="30">
        <f t="shared" si="20"/>
        <v>0.01358645077238042</v>
      </c>
      <c r="W102" s="38">
        <f t="shared" si="21"/>
        <v>5373</v>
      </c>
      <c r="X102" s="61">
        <v>0</v>
      </c>
      <c r="Y102" s="61">
        <v>0</v>
      </c>
      <c r="Z102" s="61">
        <v>0</v>
      </c>
    </row>
    <row r="103" spans="1:26" ht="15">
      <c r="A103" s="35">
        <v>96</v>
      </c>
      <c r="B103" s="44" t="s">
        <v>159</v>
      </c>
      <c r="C103" s="37">
        <f>8277-'Cas anuladas TEEM'!E113</f>
        <v>6280</v>
      </c>
      <c r="D103" s="30">
        <f t="shared" si="11"/>
        <v>0.4140841355663985</v>
      </c>
      <c r="E103" s="29">
        <f>7431-'Cas anuladas TEEM'!F113</f>
        <v>5929</v>
      </c>
      <c r="F103" s="30">
        <f t="shared" si="12"/>
        <v>0.3909402611103785</v>
      </c>
      <c r="G103" s="29">
        <f>1663-'Cas anuladas TEEM'!G113</f>
        <v>1294</v>
      </c>
      <c r="H103" s="30">
        <f t="shared" si="13"/>
        <v>0.08532243175524198</v>
      </c>
      <c r="I103" s="29">
        <f>800-'Cas anuladas TEEM'!H113</f>
        <v>641</v>
      </c>
      <c r="J103" s="30">
        <f t="shared" si="14"/>
        <v>0.042265594092048005</v>
      </c>
      <c r="K103" s="29">
        <f>133-'Cas anuladas TEEM'!I113</f>
        <v>101</v>
      </c>
      <c r="L103" s="30">
        <f t="shared" si="15"/>
        <v>0.006659633390478702</v>
      </c>
      <c r="M103" s="29">
        <f>0-'Cas anuladas TEEM'!J113</f>
        <v>0</v>
      </c>
      <c r="N103" s="30">
        <f t="shared" si="16"/>
        <v>0</v>
      </c>
      <c r="O103" s="29">
        <f>588-'Cas anuladas TEEM'!K113</f>
        <v>477</v>
      </c>
      <c r="P103" s="30">
        <f t="shared" si="17"/>
        <v>0.03145193195305288</v>
      </c>
      <c r="Q103" s="29">
        <f>208-'Cas anuladas TEEM'!L113</f>
        <v>157</v>
      </c>
      <c r="R103" s="30">
        <f t="shared" si="18"/>
        <v>0.010352103389159963</v>
      </c>
      <c r="S103" s="29">
        <f>0-'Cas anuladas TEEM'!M113</f>
        <v>0</v>
      </c>
      <c r="T103" s="30">
        <f t="shared" si="19"/>
        <v>0</v>
      </c>
      <c r="U103" s="29">
        <f>379-'Cas anuladas TEEM'!N113</f>
        <v>287</v>
      </c>
      <c r="V103" s="30">
        <f t="shared" si="20"/>
        <v>0.01892390874324146</v>
      </c>
      <c r="W103" s="38">
        <f t="shared" si="21"/>
        <v>15166</v>
      </c>
      <c r="X103" s="61">
        <f>'Cas anuladas TEEM'!O113</f>
        <v>4313</v>
      </c>
      <c r="Y103" s="61">
        <v>0</v>
      </c>
      <c r="Z103" s="61">
        <v>0</v>
      </c>
    </row>
    <row r="104" spans="1:26" ht="12.75">
      <c r="A104" s="35">
        <v>97</v>
      </c>
      <c r="B104" s="44" t="s">
        <v>95</v>
      </c>
      <c r="C104" s="37">
        <v>3835</v>
      </c>
      <c r="D104" s="30">
        <f t="shared" si="11"/>
        <v>0.3946285243877341</v>
      </c>
      <c r="E104" s="29">
        <v>4354</v>
      </c>
      <c r="F104" s="30">
        <f t="shared" si="12"/>
        <v>0.44803457501543525</v>
      </c>
      <c r="G104" s="29">
        <v>1323</v>
      </c>
      <c r="H104" s="30">
        <f t="shared" si="13"/>
        <v>0.13613912327639432</v>
      </c>
      <c r="I104" s="29">
        <v>62</v>
      </c>
      <c r="J104" s="30">
        <f t="shared" si="14"/>
        <v>0.006379913562461412</v>
      </c>
      <c r="K104" s="29">
        <v>0</v>
      </c>
      <c r="L104" s="30">
        <f t="shared" si="15"/>
        <v>0</v>
      </c>
      <c r="M104" s="29">
        <v>0</v>
      </c>
      <c r="N104" s="30">
        <f t="shared" si="16"/>
        <v>0</v>
      </c>
      <c r="O104" s="29">
        <v>28</v>
      </c>
      <c r="P104" s="30">
        <f t="shared" si="17"/>
        <v>0.0028812512862728956</v>
      </c>
      <c r="Q104" s="29">
        <v>0</v>
      </c>
      <c r="R104" s="30">
        <f t="shared" si="18"/>
        <v>0</v>
      </c>
      <c r="S104" s="29">
        <v>1</v>
      </c>
      <c r="T104" s="30">
        <f t="shared" si="19"/>
        <v>0.00010290183165260341</v>
      </c>
      <c r="U104" s="29">
        <v>115</v>
      </c>
      <c r="V104" s="30">
        <f t="shared" si="20"/>
        <v>0.011833710640049393</v>
      </c>
      <c r="W104" s="38">
        <f t="shared" si="21"/>
        <v>9718</v>
      </c>
      <c r="X104" s="61">
        <v>0</v>
      </c>
      <c r="Y104" s="61">
        <v>0</v>
      </c>
      <c r="Z104" s="61">
        <v>0</v>
      </c>
    </row>
    <row r="105" spans="1:26" ht="12.75">
      <c r="A105" s="35">
        <v>98</v>
      </c>
      <c r="B105" s="44" t="s">
        <v>96</v>
      </c>
      <c r="C105" s="37">
        <v>388</v>
      </c>
      <c r="D105" s="30">
        <f t="shared" si="11"/>
        <v>0.0689410092395167</v>
      </c>
      <c r="E105" s="29">
        <v>2861</v>
      </c>
      <c r="F105" s="30">
        <f t="shared" si="12"/>
        <v>0.5083511016346838</v>
      </c>
      <c r="G105" s="29">
        <v>2073</v>
      </c>
      <c r="H105" s="30">
        <f t="shared" si="13"/>
        <v>0.3683368869936034</v>
      </c>
      <c r="I105" s="29">
        <v>47</v>
      </c>
      <c r="J105" s="30">
        <f t="shared" si="14"/>
        <v>0.008351101634683724</v>
      </c>
      <c r="K105" s="29">
        <v>0</v>
      </c>
      <c r="L105" s="30">
        <f t="shared" si="15"/>
        <v>0</v>
      </c>
      <c r="M105" s="29">
        <v>8</v>
      </c>
      <c r="N105" s="30">
        <f t="shared" si="16"/>
        <v>0.0014214641080312722</v>
      </c>
      <c r="O105" s="29">
        <v>22</v>
      </c>
      <c r="P105" s="30">
        <f t="shared" si="17"/>
        <v>0.0039090262970859985</v>
      </c>
      <c r="Q105" s="29">
        <v>0</v>
      </c>
      <c r="R105" s="30">
        <f t="shared" si="18"/>
        <v>0</v>
      </c>
      <c r="S105" s="29">
        <v>1</v>
      </c>
      <c r="T105" s="30">
        <f t="shared" si="19"/>
        <v>0.00017768301350390902</v>
      </c>
      <c r="U105" s="29">
        <v>228</v>
      </c>
      <c r="V105" s="30">
        <f t="shared" si="20"/>
        <v>0.04051172707889126</v>
      </c>
      <c r="W105" s="38">
        <f t="shared" si="21"/>
        <v>5628</v>
      </c>
      <c r="X105" s="61">
        <v>0</v>
      </c>
      <c r="Y105" s="61">
        <v>0</v>
      </c>
      <c r="Z105" s="61">
        <v>0</v>
      </c>
    </row>
    <row r="106" spans="1:26" ht="12.75">
      <c r="A106" s="35">
        <v>99</v>
      </c>
      <c r="B106" s="44" t="s">
        <v>97</v>
      </c>
      <c r="C106" s="37">
        <v>155</v>
      </c>
      <c r="D106" s="30">
        <f t="shared" si="11"/>
        <v>0.08752117447769622</v>
      </c>
      <c r="E106" s="29">
        <v>871</v>
      </c>
      <c r="F106" s="30">
        <f t="shared" si="12"/>
        <v>0.49181253529079616</v>
      </c>
      <c r="G106" s="29">
        <v>622</v>
      </c>
      <c r="H106" s="30">
        <f t="shared" si="13"/>
        <v>0.3512140033879164</v>
      </c>
      <c r="I106" s="29">
        <v>6</v>
      </c>
      <c r="J106" s="30">
        <f t="shared" si="14"/>
        <v>0.0033879164313946925</v>
      </c>
      <c r="K106" s="29">
        <v>0</v>
      </c>
      <c r="L106" s="30">
        <f t="shared" si="15"/>
        <v>0</v>
      </c>
      <c r="M106" s="29">
        <v>1</v>
      </c>
      <c r="N106" s="30">
        <f t="shared" si="16"/>
        <v>0.000564652738565782</v>
      </c>
      <c r="O106" s="29">
        <v>0</v>
      </c>
      <c r="P106" s="30">
        <f t="shared" si="17"/>
        <v>0</v>
      </c>
      <c r="Q106" s="29">
        <v>0</v>
      </c>
      <c r="R106" s="30">
        <f t="shared" si="18"/>
        <v>0</v>
      </c>
      <c r="S106" s="29">
        <v>1</v>
      </c>
      <c r="T106" s="30">
        <f t="shared" si="19"/>
        <v>0.000564652738565782</v>
      </c>
      <c r="U106" s="29">
        <v>115</v>
      </c>
      <c r="V106" s="30">
        <f t="shared" si="20"/>
        <v>0.06493506493506493</v>
      </c>
      <c r="W106" s="38">
        <f t="shared" si="21"/>
        <v>1771</v>
      </c>
      <c r="X106" s="61">
        <v>0</v>
      </c>
      <c r="Y106" s="61">
        <v>0</v>
      </c>
      <c r="Z106" s="61">
        <v>0</v>
      </c>
    </row>
    <row r="107" spans="1:26" ht="15">
      <c r="A107" s="35">
        <v>100</v>
      </c>
      <c r="B107" s="44" t="s">
        <v>157</v>
      </c>
      <c r="C107" s="37">
        <f>7259-'Cas anuladas TEEM'!E114</f>
        <v>7203</v>
      </c>
      <c r="D107" s="30">
        <f t="shared" si="11"/>
        <v>0.1478448275862069</v>
      </c>
      <c r="E107" s="29">
        <f>16508-'Cas anuladas TEEM'!F114</f>
        <v>16443</v>
      </c>
      <c r="F107" s="30">
        <f t="shared" si="12"/>
        <v>0.3375</v>
      </c>
      <c r="G107" s="29">
        <f>18865-'Cas anuladas TEEM'!G114</f>
        <v>18797</v>
      </c>
      <c r="H107" s="30">
        <f t="shared" si="13"/>
        <v>0.38581691297208537</v>
      </c>
      <c r="I107" s="29">
        <f>737-'Cas anuladas TEEM'!H114</f>
        <v>732</v>
      </c>
      <c r="J107" s="30">
        <f t="shared" si="14"/>
        <v>0.015024630541871921</v>
      </c>
      <c r="K107" s="29">
        <f>1042-'Cas anuladas TEEM'!I114</f>
        <v>1031</v>
      </c>
      <c r="L107" s="30">
        <f t="shared" si="15"/>
        <v>0.021161740558292282</v>
      </c>
      <c r="M107" s="29">
        <f>238-'Cas anuladas TEEM'!J114</f>
        <v>238</v>
      </c>
      <c r="N107" s="30">
        <f t="shared" si="16"/>
        <v>0.004885057471264368</v>
      </c>
      <c r="O107" s="29">
        <f>605-'Cas anuladas TEEM'!K114</f>
        <v>602</v>
      </c>
      <c r="P107" s="30">
        <f t="shared" si="17"/>
        <v>0.01235632183908046</v>
      </c>
      <c r="Q107" s="29">
        <f>2262-'Cas anuladas TEEM'!L114</f>
        <v>2257</v>
      </c>
      <c r="R107" s="30">
        <f t="shared" si="18"/>
        <v>0.04632594417077176</v>
      </c>
      <c r="S107" s="29">
        <f>20-'Cas anuladas TEEM'!M114</f>
        <v>20</v>
      </c>
      <c r="T107" s="30">
        <f t="shared" si="19"/>
        <v>0.00041050903119868636</v>
      </c>
      <c r="U107" s="29">
        <f>1402-'Cas anuladas TEEM'!N114</f>
        <v>1397</v>
      </c>
      <c r="V107" s="30">
        <f t="shared" si="20"/>
        <v>0.028674055829228242</v>
      </c>
      <c r="W107" s="38">
        <f t="shared" si="21"/>
        <v>48720</v>
      </c>
      <c r="X107" s="61">
        <f>'Cas anuladas TEEM'!O114</f>
        <v>218</v>
      </c>
      <c r="Y107" s="61">
        <v>0</v>
      </c>
      <c r="Z107" s="61">
        <v>0</v>
      </c>
    </row>
    <row r="108" spans="1:26" ht="12.75">
      <c r="A108" s="35">
        <v>101</v>
      </c>
      <c r="B108" s="44" t="s">
        <v>98</v>
      </c>
      <c r="C108" s="37">
        <v>1911</v>
      </c>
      <c r="D108" s="30">
        <f t="shared" si="11"/>
        <v>0.2620320855614973</v>
      </c>
      <c r="E108" s="29">
        <v>2173</v>
      </c>
      <c r="F108" s="30">
        <f t="shared" si="12"/>
        <v>0.2979569450157685</v>
      </c>
      <c r="G108" s="29">
        <v>1483</v>
      </c>
      <c r="H108" s="30">
        <f t="shared" si="13"/>
        <v>0.20334567393390923</v>
      </c>
      <c r="I108" s="29">
        <v>1551</v>
      </c>
      <c r="J108" s="30">
        <f t="shared" si="14"/>
        <v>0.21266968325791855</v>
      </c>
      <c r="K108" s="29">
        <v>0</v>
      </c>
      <c r="L108" s="30">
        <f t="shared" si="15"/>
        <v>0</v>
      </c>
      <c r="M108" s="29">
        <v>0</v>
      </c>
      <c r="N108" s="30">
        <f t="shared" si="16"/>
        <v>0</v>
      </c>
      <c r="O108" s="29">
        <v>67</v>
      </c>
      <c r="P108" s="30">
        <f t="shared" si="17"/>
        <v>0.009186891539832716</v>
      </c>
      <c r="Q108" s="29">
        <v>0</v>
      </c>
      <c r="R108" s="30">
        <f t="shared" si="18"/>
        <v>0</v>
      </c>
      <c r="S108" s="29">
        <v>3</v>
      </c>
      <c r="T108" s="30">
        <f t="shared" si="19"/>
        <v>0.00041135335252982314</v>
      </c>
      <c r="U108" s="29">
        <v>105</v>
      </c>
      <c r="V108" s="30">
        <f t="shared" si="20"/>
        <v>0.014397367338543809</v>
      </c>
      <c r="W108" s="38">
        <f t="shared" si="21"/>
        <v>7293</v>
      </c>
      <c r="X108" s="61">
        <v>0</v>
      </c>
      <c r="Y108" s="61">
        <v>0</v>
      </c>
      <c r="Z108" s="61">
        <v>0</v>
      </c>
    </row>
    <row r="109" spans="1:26" ht="12.75">
      <c r="A109" s="35">
        <v>102</v>
      </c>
      <c r="B109" s="44" t="s">
        <v>23</v>
      </c>
      <c r="C109" s="37">
        <v>6729</v>
      </c>
      <c r="D109" s="30">
        <f t="shared" si="11"/>
        <v>0.40501986276634167</v>
      </c>
      <c r="E109" s="29">
        <v>6241</v>
      </c>
      <c r="F109" s="30">
        <f t="shared" si="12"/>
        <v>0.3756470446611292</v>
      </c>
      <c r="G109" s="29">
        <v>2575</v>
      </c>
      <c r="H109" s="30">
        <f t="shared" si="13"/>
        <v>0.154989767665824</v>
      </c>
      <c r="I109" s="29">
        <v>383</v>
      </c>
      <c r="J109" s="30">
        <f t="shared" si="14"/>
        <v>0.023052846996508967</v>
      </c>
      <c r="K109" s="29">
        <v>0</v>
      </c>
      <c r="L109" s="30">
        <f t="shared" si="15"/>
        <v>0</v>
      </c>
      <c r="M109" s="29">
        <v>34</v>
      </c>
      <c r="N109" s="30">
        <f t="shared" si="16"/>
        <v>0.0020464668351992295</v>
      </c>
      <c r="O109" s="29">
        <v>0</v>
      </c>
      <c r="P109" s="30">
        <f t="shared" si="17"/>
        <v>0</v>
      </c>
      <c r="Q109" s="29">
        <v>103</v>
      </c>
      <c r="R109" s="30">
        <f t="shared" si="18"/>
        <v>0.00619959070663296</v>
      </c>
      <c r="S109" s="29">
        <v>1</v>
      </c>
      <c r="T109" s="30">
        <f t="shared" si="19"/>
        <v>6.0190201035271456E-05</v>
      </c>
      <c r="U109" s="29">
        <v>548</v>
      </c>
      <c r="V109" s="30">
        <f t="shared" si="20"/>
        <v>0.03298423016732876</v>
      </c>
      <c r="W109" s="38">
        <f t="shared" si="21"/>
        <v>16614</v>
      </c>
      <c r="X109" s="61">
        <v>0</v>
      </c>
      <c r="Y109" s="61">
        <v>0</v>
      </c>
      <c r="Z109" s="61">
        <v>0</v>
      </c>
    </row>
    <row r="110" spans="1:26" ht="12.75">
      <c r="A110" s="35">
        <v>103</v>
      </c>
      <c r="B110" s="44" t="s">
        <v>99</v>
      </c>
      <c r="C110" s="37">
        <v>2417</v>
      </c>
      <c r="D110" s="30">
        <f t="shared" si="11"/>
        <v>0.39930612919213615</v>
      </c>
      <c r="E110" s="29">
        <v>3192</v>
      </c>
      <c r="F110" s="30">
        <f t="shared" si="12"/>
        <v>0.5273418139765406</v>
      </c>
      <c r="G110" s="29">
        <v>230</v>
      </c>
      <c r="H110" s="30">
        <f t="shared" si="13"/>
        <v>0.03799768709730712</v>
      </c>
      <c r="I110" s="29">
        <v>54</v>
      </c>
      <c r="J110" s="30">
        <f t="shared" si="14"/>
        <v>0.00892119610110689</v>
      </c>
      <c r="K110" s="29">
        <v>0</v>
      </c>
      <c r="L110" s="30">
        <f t="shared" si="15"/>
        <v>0</v>
      </c>
      <c r="M110" s="29">
        <v>0</v>
      </c>
      <c r="N110" s="30">
        <f t="shared" si="16"/>
        <v>0</v>
      </c>
      <c r="O110" s="29">
        <v>16</v>
      </c>
      <c r="P110" s="30">
        <f t="shared" si="17"/>
        <v>0.00264331736329093</v>
      </c>
      <c r="Q110" s="29">
        <v>0</v>
      </c>
      <c r="R110" s="30">
        <f t="shared" si="18"/>
        <v>0</v>
      </c>
      <c r="S110" s="29">
        <v>4</v>
      </c>
      <c r="T110" s="30">
        <f t="shared" si="19"/>
        <v>0.0006608293408227325</v>
      </c>
      <c r="U110" s="29">
        <v>140</v>
      </c>
      <c r="V110" s="30">
        <f t="shared" si="20"/>
        <v>0.023129026928795638</v>
      </c>
      <c r="W110" s="38">
        <f t="shared" si="21"/>
        <v>6053</v>
      </c>
      <c r="X110" s="61">
        <v>0</v>
      </c>
      <c r="Y110" s="61">
        <v>0</v>
      </c>
      <c r="Z110" s="61">
        <v>0</v>
      </c>
    </row>
    <row r="111" spans="1:26" ht="12.75">
      <c r="A111" s="35">
        <v>104</v>
      </c>
      <c r="B111" s="44" t="s">
        <v>100</v>
      </c>
      <c r="C111" s="37">
        <v>1980</v>
      </c>
      <c r="D111" s="30">
        <f t="shared" si="11"/>
        <v>0.13678756476683937</v>
      </c>
      <c r="E111" s="29">
        <v>4855</v>
      </c>
      <c r="F111" s="30">
        <f t="shared" si="12"/>
        <v>0.335405872193437</v>
      </c>
      <c r="G111" s="29">
        <v>3706</v>
      </c>
      <c r="H111" s="30">
        <f t="shared" si="13"/>
        <v>0.25602763385146804</v>
      </c>
      <c r="I111" s="29">
        <v>188</v>
      </c>
      <c r="J111" s="30">
        <f t="shared" si="14"/>
        <v>0.01298791018998273</v>
      </c>
      <c r="K111" s="29">
        <v>2786</v>
      </c>
      <c r="L111" s="30">
        <f t="shared" si="15"/>
        <v>0.19246977547495683</v>
      </c>
      <c r="M111" s="29">
        <v>0</v>
      </c>
      <c r="N111" s="30">
        <f t="shared" si="16"/>
        <v>0</v>
      </c>
      <c r="O111" s="29">
        <v>103</v>
      </c>
      <c r="P111" s="30">
        <f t="shared" si="17"/>
        <v>0.007115716753022453</v>
      </c>
      <c r="Q111" s="29">
        <v>347</v>
      </c>
      <c r="R111" s="30">
        <f t="shared" si="18"/>
        <v>0.023972366148531953</v>
      </c>
      <c r="S111" s="29">
        <v>2</v>
      </c>
      <c r="T111" s="30">
        <f t="shared" si="19"/>
        <v>0.0001381692573402418</v>
      </c>
      <c r="U111" s="29">
        <v>508</v>
      </c>
      <c r="V111" s="30">
        <f t="shared" si="20"/>
        <v>0.035094991364421416</v>
      </c>
      <c r="W111" s="38">
        <f t="shared" si="21"/>
        <v>14475</v>
      </c>
      <c r="X111" s="61">
        <v>0</v>
      </c>
      <c r="Y111" s="61">
        <v>0</v>
      </c>
      <c r="Z111" s="61">
        <v>0</v>
      </c>
    </row>
    <row r="112" spans="1:26" ht="12.75">
      <c r="A112" s="35">
        <v>105</v>
      </c>
      <c r="B112" s="44" t="s">
        <v>29</v>
      </c>
      <c r="C112" s="37">
        <v>109124</v>
      </c>
      <c r="D112" s="30">
        <f t="shared" si="11"/>
        <v>0.5466175770781676</v>
      </c>
      <c r="E112" s="29">
        <v>39856</v>
      </c>
      <c r="F112" s="30">
        <f t="shared" si="12"/>
        <v>0.19964435094046634</v>
      </c>
      <c r="G112" s="29">
        <v>38200</v>
      </c>
      <c r="H112" s="30">
        <f t="shared" si="13"/>
        <v>0.19134921231247026</v>
      </c>
      <c r="I112" s="29">
        <v>1932</v>
      </c>
      <c r="J112" s="30">
        <f t="shared" si="14"/>
        <v>0.009677661732662109</v>
      </c>
      <c r="K112" s="29">
        <v>2913</v>
      </c>
      <c r="L112" s="30">
        <f t="shared" si="15"/>
        <v>0.014591629724246751</v>
      </c>
      <c r="M112" s="29">
        <v>546</v>
      </c>
      <c r="N112" s="30">
        <f t="shared" si="16"/>
        <v>0.0027349913592305958</v>
      </c>
      <c r="O112" s="29">
        <v>676</v>
      </c>
      <c r="P112" s="30">
        <f t="shared" si="17"/>
        <v>0.0033861797780950233</v>
      </c>
      <c r="Q112" s="29">
        <v>542</v>
      </c>
      <c r="R112" s="30">
        <f t="shared" si="18"/>
        <v>0.002714954792496306</v>
      </c>
      <c r="S112" s="29">
        <v>691</v>
      </c>
      <c r="T112" s="30">
        <f t="shared" si="19"/>
        <v>0.003461316903348611</v>
      </c>
      <c r="U112" s="29">
        <v>5155</v>
      </c>
      <c r="V112" s="30">
        <f t="shared" si="20"/>
        <v>0.02582212537881634</v>
      </c>
      <c r="W112" s="38">
        <f t="shared" si="21"/>
        <v>199635</v>
      </c>
      <c r="X112" s="61">
        <v>0</v>
      </c>
      <c r="Y112" s="61">
        <v>0</v>
      </c>
      <c r="Z112" s="61">
        <v>0</v>
      </c>
    </row>
    <row r="113" spans="1:26" ht="12.75">
      <c r="A113" s="35">
        <v>106</v>
      </c>
      <c r="B113" s="44" t="s">
        <v>101</v>
      </c>
      <c r="C113" s="37">
        <v>246</v>
      </c>
      <c r="D113" s="30">
        <f t="shared" si="11"/>
        <v>0.017507650701017723</v>
      </c>
      <c r="E113" s="29">
        <v>4057</v>
      </c>
      <c r="F113" s="30">
        <f t="shared" si="12"/>
        <v>0.28873389794320686</v>
      </c>
      <c r="G113" s="29">
        <v>5330</v>
      </c>
      <c r="H113" s="30">
        <f t="shared" si="13"/>
        <v>0.37933243185538396</v>
      </c>
      <c r="I113" s="29">
        <v>31</v>
      </c>
      <c r="J113" s="30">
        <f t="shared" si="14"/>
        <v>0.002206248665575404</v>
      </c>
      <c r="K113" s="29">
        <v>3926</v>
      </c>
      <c r="L113" s="30">
        <f t="shared" si="15"/>
        <v>0.279410718098356</v>
      </c>
      <c r="M113" s="29">
        <v>55</v>
      </c>
      <c r="N113" s="30">
        <f t="shared" si="16"/>
        <v>0.003914312148601523</v>
      </c>
      <c r="O113" s="29">
        <v>1</v>
      </c>
      <c r="P113" s="30">
        <f t="shared" si="17"/>
        <v>7.116931179275497E-05</v>
      </c>
      <c r="Q113" s="29">
        <v>0</v>
      </c>
      <c r="R113" s="30">
        <f t="shared" si="18"/>
        <v>0</v>
      </c>
      <c r="S113" s="29">
        <v>3</v>
      </c>
      <c r="T113" s="30">
        <f t="shared" si="19"/>
        <v>0.0002135079353782649</v>
      </c>
      <c r="U113" s="29">
        <v>402</v>
      </c>
      <c r="V113" s="30">
        <f t="shared" si="20"/>
        <v>0.028610063340687497</v>
      </c>
      <c r="W113" s="38">
        <f t="shared" si="21"/>
        <v>14051</v>
      </c>
      <c r="X113" s="61">
        <v>0</v>
      </c>
      <c r="Y113" s="61">
        <v>0</v>
      </c>
      <c r="Z113" s="61">
        <v>0</v>
      </c>
    </row>
    <row r="114" spans="1:26" ht="12.75">
      <c r="A114" s="35">
        <v>107</v>
      </c>
      <c r="B114" s="44" t="s">
        <v>19</v>
      </c>
      <c r="C114" s="37">
        <v>78698</v>
      </c>
      <c r="D114" s="30">
        <f t="shared" si="11"/>
        <v>0.3934172178147043</v>
      </c>
      <c r="E114" s="29">
        <v>75887</v>
      </c>
      <c r="F114" s="30">
        <f t="shared" si="12"/>
        <v>0.3793648175087609</v>
      </c>
      <c r="G114" s="29">
        <v>24898</v>
      </c>
      <c r="H114" s="30">
        <f t="shared" si="13"/>
        <v>0.12446697360988217</v>
      </c>
      <c r="I114" s="29">
        <v>6714</v>
      </c>
      <c r="J114" s="30">
        <f t="shared" si="14"/>
        <v>0.03356379069872074</v>
      </c>
      <c r="K114" s="29">
        <v>5500</v>
      </c>
      <c r="L114" s="30">
        <f t="shared" si="15"/>
        <v>0.027494913441013413</v>
      </c>
      <c r="M114" s="29">
        <v>998</v>
      </c>
      <c r="N114" s="30">
        <f t="shared" si="16"/>
        <v>0.004989077020751161</v>
      </c>
      <c r="O114" s="29">
        <v>862</v>
      </c>
      <c r="P114" s="30">
        <f t="shared" si="17"/>
        <v>0.004309202797482466</v>
      </c>
      <c r="Q114" s="29">
        <v>1089</v>
      </c>
      <c r="R114" s="30">
        <f t="shared" si="18"/>
        <v>0.005443992861320655</v>
      </c>
      <c r="S114" s="29">
        <v>58</v>
      </c>
      <c r="T114" s="30">
        <f t="shared" si="19"/>
        <v>0.00028994635992341417</v>
      </c>
      <c r="U114" s="29">
        <v>5333</v>
      </c>
      <c r="V114" s="30">
        <f t="shared" si="20"/>
        <v>0.026660067887440825</v>
      </c>
      <c r="W114" s="38">
        <f t="shared" si="21"/>
        <v>200037</v>
      </c>
      <c r="X114" s="61">
        <v>0</v>
      </c>
      <c r="Y114" s="61">
        <v>0</v>
      </c>
      <c r="Z114" s="61">
        <v>0</v>
      </c>
    </row>
    <row r="115" spans="1:26" ht="12.75">
      <c r="A115" s="35">
        <v>108</v>
      </c>
      <c r="B115" s="44" t="s">
        <v>102</v>
      </c>
      <c r="C115" s="37">
        <v>610</v>
      </c>
      <c r="D115" s="30">
        <f t="shared" si="11"/>
        <v>0.11846960574868906</v>
      </c>
      <c r="E115" s="29">
        <v>2060</v>
      </c>
      <c r="F115" s="30">
        <f t="shared" si="12"/>
        <v>0.40007768498737617</v>
      </c>
      <c r="G115" s="29">
        <v>2284</v>
      </c>
      <c r="H115" s="30">
        <f t="shared" si="13"/>
        <v>0.44358127791804236</v>
      </c>
      <c r="I115" s="29">
        <v>22</v>
      </c>
      <c r="J115" s="30">
        <f t="shared" si="14"/>
        <v>0.004272674305690425</v>
      </c>
      <c r="K115" s="29">
        <v>0</v>
      </c>
      <c r="L115" s="30">
        <f t="shared" si="15"/>
        <v>0</v>
      </c>
      <c r="M115" s="29">
        <v>3</v>
      </c>
      <c r="N115" s="30">
        <f t="shared" si="16"/>
        <v>0.0005826374053214216</v>
      </c>
      <c r="O115" s="29">
        <v>0</v>
      </c>
      <c r="P115" s="30">
        <f t="shared" si="17"/>
        <v>0</v>
      </c>
      <c r="Q115" s="29">
        <v>0</v>
      </c>
      <c r="R115" s="30">
        <f t="shared" si="18"/>
        <v>0</v>
      </c>
      <c r="S115" s="29">
        <v>2</v>
      </c>
      <c r="T115" s="30">
        <f t="shared" si="19"/>
        <v>0.0003884249368809478</v>
      </c>
      <c r="U115" s="29">
        <v>168</v>
      </c>
      <c r="V115" s="30">
        <f t="shared" si="20"/>
        <v>0.03262769469799961</v>
      </c>
      <c r="W115" s="38">
        <f t="shared" si="21"/>
        <v>5149</v>
      </c>
      <c r="X115" s="61">
        <v>0</v>
      </c>
      <c r="Y115" s="61">
        <v>0</v>
      </c>
      <c r="Z115" s="61">
        <v>0</v>
      </c>
    </row>
    <row r="116" spans="1:26" ht="12.75">
      <c r="A116" s="35">
        <v>109</v>
      </c>
      <c r="B116" s="44" t="s">
        <v>103</v>
      </c>
      <c r="C116" s="37">
        <v>6878</v>
      </c>
      <c r="D116" s="30">
        <f t="shared" si="11"/>
        <v>0.2985372629020357</v>
      </c>
      <c r="E116" s="29">
        <v>6716</v>
      </c>
      <c r="F116" s="30">
        <f t="shared" si="12"/>
        <v>0.2915057077130084</v>
      </c>
      <c r="G116" s="29">
        <v>7658</v>
      </c>
      <c r="H116" s="30">
        <f t="shared" si="13"/>
        <v>0.3323928989973523</v>
      </c>
      <c r="I116" s="29">
        <v>739</v>
      </c>
      <c r="J116" s="30">
        <f t="shared" si="14"/>
        <v>0.03207604496722948</v>
      </c>
      <c r="K116" s="29">
        <v>103</v>
      </c>
      <c r="L116" s="30">
        <f t="shared" si="15"/>
        <v>0.004470680151048223</v>
      </c>
      <c r="M116" s="29">
        <v>315</v>
      </c>
      <c r="N116" s="30">
        <f t="shared" si="16"/>
        <v>0.013672468423108642</v>
      </c>
      <c r="O116" s="29">
        <v>72</v>
      </c>
      <c r="P116" s="30">
        <f t="shared" si="17"/>
        <v>0.0031251356395676894</v>
      </c>
      <c r="Q116" s="29">
        <v>75</v>
      </c>
      <c r="R116" s="30">
        <f t="shared" si="18"/>
        <v>0.0032553496245496766</v>
      </c>
      <c r="S116" s="29">
        <v>1</v>
      </c>
      <c r="T116" s="30">
        <f t="shared" si="19"/>
        <v>4.3404661660662356E-05</v>
      </c>
      <c r="U116" s="29">
        <v>482</v>
      </c>
      <c r="V116" s="30">
        <f t="shared" si="20"/>
        <v>0.020921046920439255</v>
      </c>
      <c r="W116" s="38">
        <f t="shared" si="21"/>
        <v>23039</v>
      </c>
      <c r="X116" s="61">
        <v>0</v>
      </c>
      <c r="Y116" s="61">
        <v>0</v>
      </c>
      <c r="Z116" s="61">
        <v>0</v>
      </c>
    </row>
    <row r="117" spans="1:26" ht="15">
      <c r="A117" s="35">
        <v>110</v>
      </c>
      <c r="B117" s="44" t="s">
        <v>164</v>
      </c>
      <c r="C117" s="37">
        <f>18626-'Cas anuladas TEEM'!E129</f>
        <v>18014</v>
      </c>
      <c r="D117" s="30">
        <f t="shared" si="11"/>
        <v>0.18261627671221767</v>
      </c>
      <c r="E117" s="29">
        <f>33802-'Cas anuladas TEEM'!F129</f>
        <v>32894</v>
      </c>
      <c r="F117" s="30">
        <f t="shared" si="12"/>
        <v>0.3334617412108187</v>
      </c>
      <c r="G117" s="29">
        <f>39143-'Cas anuladas TEEM'!G129</f>
        <v>37828</v>
      </c>
      <c r="H117" s="30">
        <f t="shared" si="13"/>
        <v>0.3834799886460403</v>
      </c>
      <c r="I117" s="29">
        <f>5535-'Cas anuladas TEEM'!H129</f>
        <v>5292</v>
      </c>
      <c r="J117" s="30">
        <f t="shared" si="14"/>
        <v>0.05364745955151859</v>
      </c>
      <c r="K117" s="29">
        <f>698-'Cas anuladas TEEM'!I129</f>
        <v>686</v>
      </c>
      <c r="L117" s="30">
        <f t="shared" si="15"/>
        <v>0.006954300312233892</v>
      </c>
      <c r="M117" s="29">
        <f>919-'Cas anuladas TEEM'!J129</f>
        <v>877</v>
      </c>
      <c r="N117" s="30">
        <f t="shared" si="16"/>
        <v>0.008890555938526418</v>
      </c>
      <c r="O117" s="29">
        <f>383-'Cas anuladas TEEM'!K129</f>
        <v>371</v>
      </c>
      <c r="P117" s="30">
        <f t="shared" si="17"/>
        <v>0.003760999148453023</v>
      </c>
      <c r="Q117" s="29">
        <f>328-'Cas anuladas TEEM'!L129</f>
        <v>319</v>
      </c>
      <c r="R117" s="30">
        <f t="shared" si="18"/>
        <v>0.0032338510198288797</v>
      </c>
      <c r="S117" s="29">
        <f>21-'Cas anuladas TEEM'!M129</f>
        <v>21</v>
      </c>
      <c r="T117" s="30">
        <f t="shared" si="19"/>
        <v>0.0002128867442520579</v>
      </c>
      <c r="U117" s="29">
        <f>2416-'Cas anuladas TEEM'!N129</f>
        <v>2342</v>
      </c>
      <c r="V117" s="30">
        <f t="shared" si="20"/>
        <v>0.02374194071611046</v>
      </c>
      <c r="W117" s="38">
        <f t="shared" si="21"/>
        <v>98644</v>
      </c>
      <c r="X117" s="61">
        <f>'Cas anuladas TEEM'!O129</f>
        <v>3227</v>
      </c>
      <c r="Y117" s="61">
        <v>0</v>
      </c>
      <c r="Z117" s="61">
        <v>0</v>
      </c>
    </row>
    <row r="118" spans="1:26" ht="12.75">
      <c r="A118" s="35">
        <v>111</v>
      </c>
      <c r="B118" s="44" t="s">
        <v>26</v>
      </c>
      <c r="C118" s="37">
        <v>8531</v>
      </c>
      <c r="D118" s="30">
        <f t="shared" si="11"/>
        <v>0.4005728506362398</v>
      </c>
      <c r="E118" s="29">
        <v>6018</v>
      </c>
      <c r="F118" s="30">
        <f t="shared" si="12"/>
        <v>0.2825750105648683</v>
      </c>
      <c r="G118" s="29">
        <v>4087</v>
      </c>
      <c r="H118" s="30">
        <f t="shared" si="13"/>
        <v>0.1919049631403484</v>
      </c>
      <c r="I118" s="29">
        <v>1451</v>
      </c>
      <c r="J118" s="30">
        <f t="shared" si="14"/>
        <v>0.0681316617363948</v>
      </c>
      <c r="K118" s="29">
        <v>42</v>
      </c>
      <c r="L118" s="30">
        <f t="shared" si="15"/>
        <v>0.001972108747710945</v>
      </c>
      <c r="M118" s="29">
        <v>101</v>
      </c>
      <c r="N118" s="30">
        <f t="shared" si="16"/>
        <v>0.004742451988542987</v>
      </c>
      <c r="O118" s="29">
        <v>3</v>
      </c>
      <c r="P118" s="30">
        <f t="shared" si="17"/>
        <v>0.0001408649105507818</v>
      </c>
      <c r="Q118" s="29">
        <v>166</v>
      </c>
      <c r="R118" s="30">
        <f t="shared" si="18"/>
        <v>0.007794525050476593</v>
      </c>
      <c r="S118" s="29">
        <v>1</v>
      </c>
      <c r="T118" s="30">
        <f t="shared" si="19"/>
        <v>4.6954970183593935E-05</v>
      </c>
      <c r="U118" s="29">
        <v>897</v>
      </c>
      <c r="V118" s="30">
        <f t="shared" si="20"/>
        <v>0.042118608254683755</v>
      </c>
      <c r="W118" s="38">
        <f t="shared" si="21"/>
        <v>21297</v>
      </c>
      <c r="X118" s="61">
        <v>0</v>
      </c>
      <c r="Y118" s="61">
        <v>0</v>
      </c>
      <c r="Z118" s="61">
        <v>0</v>
      </c>
    </row>
    <row r="119" spans="1:26" ht="15.75">
      <c r="A119" s="35">
        <v>112</v>
      </c>
      <c r="B119" s="46" t="s">
        <v>140</v>
      </c>
      <c r="C119" s="37">
        <f>3518-'Cas anuladas TEEM'!E132</f>
        <v>3517</v>
      </c>
      <c r="D119" s="30">
        <f t="shared" si="11"/>
        <v>0.2661369655694287</v>
      </c>
      <c r="E119" s="29">
        <f>3796-'Cas anuladas TEEM'!F132</f>
        <v>3795</v>
      </c>
      <c r="F119" s="30">
        <f t="shared" si="12"/>
        <v>0.28717366628830876</v>
      </c>
      <c r="G119" s="29">
        <f>2696-'Cas anuladas TEEM'!G132</f>
        <v>2707</v>
      </c>
      <c r="H119" s="30">
        <f t="shared" si="13"/>
        <v>0.2048429814604616</v>
      </c>
      <c r="I119" s="29">
        <f>2412-'Cas anuladas TEEM'!H132</f>
        <v>2396</v>
      </c>
      <c r="J119" s="30">
        <f t="shared" si="14"/>
        <v>0.18130911842603104</v>
      </c>
      <c r="K119" s="29">
        <f>0-'Cas anuladas TEEM'!I132</f>
        <v>0</v>
      </c>
      <c r="L119" s="30">
        <f t="shared" si="15"/>
        <v>0</v>
      </c>
      <c r="M119" s="29">
        <f>2-'Cas anuladas TEEM'!J132</f>
        <v>4</v>
      </c>
      <c r="N119" s="30">
        <f t="shared" si="16"/>
        <v>0.0003026863412788498</v>
      </c>
      <c r="O119" s="29">
        <f>48-'Cas anuladas TEEM'!K132</f>
        <v>49</v>
      </c>
      <c r="P119" s="30">
        <f t="shared" si="17"/>
        <v>0.00370790768066591</v>
      </c>
      <c r="Q119" s="29">
        <f>0-'Cas anuladas TEEM'!L132</f>
        <v>0</v>
      </c>
      <c r="R119" s="30">
        <f t="shared" si="18"/>
        <v>0</v>
      </c>
      <c r="S119" s="29">
        <f>13-'Cas anuladas TEEM'!M132</f>
        <v>13</v>
      </c>
      <c r="T119" s="30">
        <f t="shared" si="19"/>
        <v>0.0009837306091562618</v>
      </c>
      <c r="U119" s="29">
        <f>734-'Cas anuladas TEEM'!N132</f>
        <v>734</v>
      </c>
      <c r="V119" s="30">
        <f t="shared" si="20"/>
        <v>0.05554294362466894</v>
      </c>
      <c r="W119" s="38">
        <f t="shared" si="21"/>
        <v>13215</v>
      </c>
      <c r="X119" s="61">
        <f>'Cas anuladas TEEM'!O132</f>
        <v>4</v>
      </c>
      <c r="Y119" s="61">
        <v>0</v>
      </c>
      <c r="Z119" s="61">
        <v>0</v>
      </c>
    </row>
    <row r="120" spans="1:26" ht="12.75">
      <c r="A120" s="35">
        <v>113</v>
      </c>
      <c r="B120" s="44" t="s">
        <v>104</v>
      </c>
      <c r="C120" s="37">
        <v>4444</v>
      </c>
      <c r="D120" s="30">
        <f t="shared" si="11"/>
        <v>0.3170435899265178</v>
      </c>
      <c r="E120" s="29">
        <v>4275</v>
      </c>
      <c r="F120" s="30">
        <f t="shared" si="12"/>
        <v>0.3049868017407434</v>
      </c>
      <c r="G120" s="29">
        <v>1078</v>
      </c>
      <c r="H120" s="30">
        <f t="shared" si="13"/>
        <v>0.07690661339801669</v>
      </c>
      <c r="I120" s="29">
        <v>3467</v>
      </c>
      <c r="J120" s="30">
        <f t="shared" si="14"/>
        <v>0.24734251266319468</v>
      </c>
      <c r="K120" s="29">
        <v>67</v>
      </c>
      <c r="L120" s="30">
        <f t="shared" si="15"/>
        <v>0.004779910109153171</v>
      </c>
      <c r="M120" s="29">
        <v>35</v>
      </c>
      <c r="N120" s="30">
        <f t="shared" si="16"/>
        <v>0.0024969679674680745</v>
      </c>
      <c r="O120" s="29">
        <v>60</v>
      </c>
      <c r="P120" s="30">
        <f t="shared" si="17"/>
        <v>0.0042805165156595566</v>
      </c>
      <c r="Q120" s="29">
        <v>0</v>
      </c>
      <c r="R120" s="30">
        <f t="shared" si="18"/>
        <v>0</v>
      </c>
      <c r="S120" s="29">
        <v>0</v>
      </c>
      <c r="T120" s="30">
        <f t="shared" si="19"/>
        <v>0</v>
      </c>
      <c r="U120" s="29">
        <v>591</v>
      </c>
      <c r="V120" s="30">
        <f t="shared" si="20"/>
        <v>0.042163087679246626</v>
      </c>
      <c r="W120" s="38">
        <f t="shared" si="21"/>
        <v>14017</v>
      </c>
      <c r="X120" s="61">
        <v>0</v>
      </c>
      <c r="Y120" s="61">
        <v>0</v>
      </c>
      <c r="Z120" s="61">
        <v>0</v>
      </c>
    </row>
    <row r="121" spans="1:26" ht="12.75">
      <c r="A121" s="35">
        <v>114</v>
      </c>
      <c r="B121" s="44" t="s">
        <v>105</v>
      </c>
      <c r="C121" s="37">
        <v>1462</v>
      </c>
      <c r="D121" s="30">
        <f t="shared" si="11"/>
        <v>0.09977479014536272</v>
      </c>
      <c r="E121" s="29">
        <v>4550</v>
      </c>
      <c r="F121" s="30">
        <f t="shared" si="12"/>
        <v>0.3105166177574558</v>
      </c>
      <c r="G121" s="29">
        <v>5552</v>
      </c>
      <c r="H121" s="30">
        <f t="shared" si="13"/>
        <v>0.3788985190745922</v>
      </c>
      <c r="I121" s="29">
        <v>1661</v>
      </c>
      <c r="J121" s="30">
        <f t="shared" si="14"/>
        <v>0.1133556268340954</v>
      </c>
      <c r="K121" s="29">
        <v>30</v>
      </c>
      <c r="L121" s="30">
        <f t="shared" si="15"/>
        <v>0.002047362314884324</v>
      </c>
      <c r="M121" s="29">
        <v>74</v>
      </c>
      <c r="N121" s="30">
        <f t="shared" si="16"/>
        <v>0.005050160376714666</v>
      </c>
      <c r="O121" s="29">
        <v>0</v>
      </c>
      <c r="P121" s="30">
        <f t="shared" si="17"/>
        <v>0</v>
      </c>
      <c r="Q121" s="29">
        <v>748</v>
      </c>
      <c r="R121" s="30">
        <f t="shared" si="18"/>
        <v>0.051047567051115815</v>
      </c>
      <c r="S121" s="29">
        <v>4</v>
      </c>
      <c r="T121" s="30">
        <f t="shared" si="19"/>
        <v>0.00027298164198457655</v>
      </c>
      <c r="U121" s="29">
        <v>572</v>
      </c>
      <c r="V121" s="30">
        <f t="shared" si="20"/>
        <v>0.039036374803794446</v>
      </c>
      <c r="W121" s="38">
        <f t="shared" si="21"/>
        <v>14653</v>
      </c>
      <c r="X121" s="61">
        <v>0</v>
      </c>
      <c r="Y121" s="61">
        <v>0</v>
      </c>
      <c r="Z121" s="61">
        <v>0</v>
      </c>
    </row>
    <row r="122" spans="1:26" ht="12.75">
      <c r="A122" s="35">
        <v>115</v>
      </c>
      <c r="B122" s="44" t="s">
        <v>106</v>
      </c>
      <c r="C122" s="37">
        <v>2659</v>
      </c>
      <c r="D122" s="30">
        <f t="shared" si="11"/>
        <v>0.13149695860738836</v>
      </c>
      <c r="E122" s="29">
        <v>12257</v>
      </c>
      <c r="F122" s="30">
        <f t="shared" si="12"/>
        <v>0.6061520201770436</v>
      </c>
      <c r="G122" s="29">
        <v>3661</v>
      </c>
      <c r="H122" s="30">
        <f t="shared" si="13"/>
        <v>0.18104940408486228</v>
      </c>
      <c r="I122" s="29">
        <v>566</v>
      </c>
      <c r="J122" s="30">
        <f t="shared" si="14"/>
        <v>0.027990702734780673</v>
      </c>
      <c r="K122" s="29">
        <v>30</v>
      </c>
      <c r="L122" s="30">
        <f t="shared" si="15"/>
        <v>0.001483606152020177</v>
      </c>
      <c r="M122" s="29">
        <v>59</v>
      </c>
      <c r="N122" s="30">
        <f t="shared" si="16"/>
        <v>0.0029177587656396813</v>
      </c>
      <c r="O122" s="29">
        <v>57</v>
      </c>
      <c r="P122" s="30">
        <f t="shared" si="17"/>
        <v>0.0028188516888383365</v>
      </c>
      <c r="Q122" s="29">
        <v>26</v>
      </c>
      <c r="R122" s="30">
        <f t="shared" si="18"/>
        <v>0.0012857919984174868</v>
      </c>
      <c r="S122" s="29">
        <v>17</v>
      </c>
      <c r="T122" s="30">
        <f t="shared" si="19"/>
        <v>0.0008407101528114337</v>
      </c>
      <c r="U122" s="29">
        <v>889</v>
      </c>
      <c r="V122" s="30">
        <f t="shared" si="20"/>
        <v>0.043964195638197916</v>
      </c>
      <c r="W122" s="38">
        <f t="shared" si="21"/>
        <v>20221</v>
      </c>
      <c r="X122" s="61">
        <v>0</v>
      </c>
      <c r="Y122" s="61">
        <v>0</v>
      </c>
      <c r="Z122" s="61">
        <v>0</v>
      </c>
    </row>
    <row r="123" spans="1:26" ht="12.75">
      <c r="A123" s="35">
        <v>116</v>
      </c>
      <c r="B123" s="44" t="s">
        <v>107</v>
      </c>
      <c r="C123" s="37">
        <v>2475</v>
      </c>
      <c r="D123" s="30">
        <f t="shared" si="11"/>
        <v>0.16879219804951237</v>
      </c>
      <c r="E123" s="29">
        <v>3509</v>
      </c>
      <c r="F123" s="30">
        <f t="shared" si="12"/>
        <v>0.23930982745686422</v>
      </c>
      <c r="G123" s="29">
        <v>4434</v>
      </c>
      <c r="H123" s="30">
        <f t="shared" si="13"/>
        <v>0.30239378026324765</v>
      </c>
      <c r="I123" s="29">
        <v>3363</v>
      </c>
      <c r="J123" s="30">
        <f t="shared" si="14"/>
        <v>0.22935279274364045</v>
      </c>
      <c r="K123" s="29">
        <v>0</v>
      </c>
      <c r="L123" s="30">
        <f t="shared" si="15"/>
        <v>0</v>
      </c>
      <c r="M123" s="29">
        <v>21</v>
      </c>
      <c r="N123" s="30">
        <f t="shared" si="16"/>
        <v>0.0014321762258746504</v>
      </c>
      <c r="O123" s="29">
        <v>39</v>
      </c>
      <c r="P123" s="30">
        <f t="shared" si="17"/>
        <v>0.0026597558480529223</v>
      </c>
      <c r="Q123" s="29">
        <v>472</v>
      </c>
      <c r="R123" s="30">
        <f t="shared" si="18"/>
        <v>0.03218986564823024</v>
      </c>
      <c r="S123" s="29">
        <v>4</v>
      </c>
      <c r="T123" s="30">
        <f t="shared" si="19"/>
        <v>0.00027279547159517154</v>
      </c>
      <c r="U123" s="29">
        <v>346</v>
      </c>
      <c r="V123" s="30">
        <f t="shared" si="20"/>
        <v>0.023596808292982337</v>
      </c>
      <c r="W123" s="38">
        <f t="shared" si="21"/>
        <v>14663</v>
      </c>
      <c r="X123" s="61">
        <v>0</v>
      </c>
      <c r="Y123" s="61">
        <v>0</v>
      </c>
      <c r="Z123" s="61">
        <v>0</v>
      </c>
    </row>
    <row r="124" spans="1:26" ht="12.75">
      <c r="A124" s="35">
        <v>117</v>
      </c>
      <c r="B124" s="44" t="s">
        <v>108</v>
      </c>
      <c r="C124" s="37">
        <v>787</v>
      </c>
      <c r="D124" s="30">
        <f t="shared" si="11"/>
        <v>0.46430678466076697</v>
      </c>
      <c r="E124" s="29">
        <v>570</v>
      </c>
      <c r="F124" s="30">
        <f t="shared" si="12"/>
        <v>0.336283185840708</v>
      </c>
      <c r="G124" s="29">
        <v>287</v>
      </c>
      <c r="H124" s="30">
        <f t="shared" si="13"/>
        <v>0.16932153392330385</v>
      </c>
      <c r="I124" s="29">
        <v>13</v>
      </c>
      <c r="J124" s="30">
        <f t="shared" si="14"/>
        <v>0.007669616519174041</v>
      </c>
      <c r="K124" s="29">
        <v>0</v>
      </c>
      <c r="L124" s="30">
        <f t="shared" si="15"/>
        <v>0</v>
      </c>
      <c r="M124" s="29">
        <v>5</v>
      </c>
      <c r="N124" s="30">
        <f t="shared" si="16"/>
        <v>0.0029498525073746312</v>
      </c>
      <c r="O124" s="29">
        <v>0</v>
      </c>
      <c r="P124" s="30">
        <f t="shared" si="17"/>
        <v>0</v>
      </c>
      <c r="Q124" s="29">
        <v>0</v>
      </c>
      <c r="R124" s="30">
        <f t="shared" si="18"/>
        <v>0</v>
      </c>
      <c r="S124" s="29">
        <v>0</v>
      </c>
      <c r="T124" s="30">
        <f t="shared" si="19"/>
        <v>0</v>
      </c>
      <c r="U124" s="29">
        <v>33</v>
      </c>
      <c r="V124" s="30">
        <f t="shared" si="20"/>
        <v>0.019469026548672566</v>
      </c>
      <c r="W124" s="38">
        <f t="shared" si="21"/>
        <v>1695</v>
      </c>
      <c r="X124" s="61">
        <v>0</v>
      </c>
      <c r="Y124" s="61">
        <v>0</v>
      </c>
      <c r="Z124" s="61">
        <v>0</v>
      </c>
    </row>
    <row r="125" spans="1:26" ht="15.75">
      <c r="A125" s="35">
        <v>118</v>
      </c>
      <c r="B125" s="46" t="s">
        <v>166</v>
      </c>
      <c r="C125" s="37">
        <f>1086-'Cas anuladas TEEM'!E136+'Cas anuladas TEPJF'!E95</f>
        <v>1018</v>
      </c>
      <c r="D125" s="30">
        <f t="shared" si="11"/>
        <v>0.20762798286763207</v>
      </c>
      <c r="E125" s="29">
        <f>1235-'Cas anuladas TEEM'!F136+'Cas anuladas TEPJF'!F95</f>
        <v>1076</v>
      </c>
      <c r="F125" s="30">
        <f t="shared" si="12"/>
        <v>0.21945747501529675</v>
      </c>
      <c r="G125" s="29">
        <f>852-'Cas anuladas TEEM'!G136+'Cas anuladas TEPJF'!G95</f>
        <v>771</v>
      </c>
      <c r="H125" s="30">
        <f t="shared" si="13"/>
        <v>0.15725066285947378</v>
      </c>
      <c r="I125" s="29">
        <f>102-'Cas anuladas TEEM'!H136+'Cas anuladas TEPJF'!H95</f>
        <v>78</v>
      </c>
      <c r="J125" s="30">
        <f t="shared" si="14"/>
        <v>0.01590862737099735</v>
      </c>
      <c r="K125" s="29">
        <f>27-'Cas anuladas TEEM'!I136+'Cas anuladas TEPJF'!I95</f>
        <v>27</v>
      </c>
      <c r="L125" s="30">
        <f t="shared" si="15"/>
        <v>0.005506832551499082</v>
      </c>
      <c r="M125" s="29">
        <f>22-'Cas anuladas TEEM'!J136+'Cas anuladas TEPJF'!J95</f>
        <v>18</v>
      </c>
      <c r="N125" s="30">
        <f t="shared" si="16"/>
        <v>0.003671221700999388</v>
      </c>
      <c r="O125" s="29">
        <f>740-'Cas anuladas TEEM'!K136+'Cas anuladas TEPJF'!K95</f>
        <v>710</v>
      </c>
      <c r="P125" s="30">
        <f t="shared" si="17"/>
        <v>0.1448093004283092</v>
      </c>
      <c r="Q125" s="29">
        <f>1112-'Cas anuladas TEEM'!L136+'Cas anuladas TEPJF'!L95</f>
        <v>1005</v>
      </c>
      <c r="R125" s="30">
        <f t="shared" si="18"/>
        <v>0.20497654497246584</v>
      </c>
      <c r="S125" s="29">
        <f>2-'Cas anuladas TEEM'!M136+'Cas anuladas TEPJF'!M95</f>
        <v>2</v>
      </c>
      <c r="T125" s="30">
        <f t="shared" si="19"/>
        <v>0.0004079135223332653</v>
      </c>
      <c r="U125" s="29">
        <f>228-'Cas anuladas TEEM'!N136+'Cas anuladas TEPJF'!N95</f>
        <v>198</v>
      </c>
      <c r="V125" s="30">
        <f t="shared" si="20"/>
        <v>0.04038343871099327</v>
      </c>
      <c r="W125" s="38">
        <f t="shared" si="21"/>
        <v>4903</v>
      </c>
      <c r="X125" s="61">
        <f>'Cas anuladas TEEM'!O136</f>
        <v>609</v>
      </c>
      <c r="Y125" s="61">
        <f>SUM('Cas anuladas TEPJF'!O91:O92)</f>
        <v>358</v>
      </c>
      <c r="Z125" s="61">
        <f>SUM('Cas anuladas TEPJF'!O93:O94)</f>
        <v>252</v>
      </c>
    </row>
    <row r="126" spans="1:26" ht="15">
      <c r="A126" s="35">
        <v>119</v>
      </c>
      <c r="B126" s="44" t="s">
        <v>143</v>
      </c>
      <c r="C126" s="37">
        <f>7115-'Cas anuladas TEEM'!E142</f>
        <v>6785</v>
      </c>
      <c r="D126" s="30">
        <f t="shared" si="11"/>
        <v>0.20960118624694943</v>
      </c>
      <c r="E126" s="29">
        <f>11821-'Cas anuladas TEEM'!F142</f>
        <v>11262</v>
      </c>
      <c r="F126" s="30">
        <f t="shared" si="12"/>
        <v>0.3479039881375305</v>
      </c>
      <c r="G126" s="29">
        <f>2107-'Cas anuladas TEEM'!G142</f>
        <v>2024</v>
      </c>
      <c r="H126" s="30">
        <f t="shared" si="13"/>
        <v>0.06252509962620864</v>
      </c>
      <c r="I126" s="29">
        <f>10275-'Cas anuladas TEEM'!H142</f>
        <v>9768</v>
      </c>
      <c r="J126" s="30">
        <f t="shared" si="14"/>
        <v>0.3017515677612678</v>
      </c>
      <c r="K126" s="29">
        <f>700-'Cas anuladas TEEM'!I142</f>
        <v>676</v>
      </c>
      <c r="L126" s="30">
        <f t="shared" si="15"/>
        <v>0.020882889005591425</v>
      </c>
      <c r="M126" s="29">
        <f>5-'Cas anuladas TEEM'!J142</f>
        <v>5</v>
      </c>
      <c r="N126" s="30">
        <f t="shared" si="16"/>
        <v>0.00015445923820703715</v>
      </c>
      <c r="O126" s="29">
        <f>343-'Cas anuladas TEEM'!K142</f>
        <v>323</v>
      </c>
      <c r="P126" s="30">
        <f t="shared" si="17"/>
        <v>0.009978066788174601</v>
      </c>
      <c r="Q126" s="29">
        <f>418-'Cas anuladas TEEM'!L142</f>
        <v>400</v>
      </c>
      <c r="R126" s="30">
        <f t="shared" si="18"/>
        <v>0.012356739056562973</v>
      </c>
      <c r="S126" s="29">
        <f>2-'Cas anuladas TEEM'!M142</f>
        <v>2</v>
      </c>
      <c r="T126" s="30">
        <f t="shared" si="19"/>
        <v>6.178369528281487E-05</v>
      </c>
      <c r="U126" s="29">
        <f>1174-'Cas anuladas TEEM'!N142</f>
        <v>1126</v>
      </c>
      <c r="V126" s="30">
        <f t="shared" si="20"/>
        <v>0.034784220444224766</v>
      </c>
      <c r="W126" s="38">
        <f t="shared" si="21"/>
        <v>32371</v>
      </c>
      <c r="X126" s="61">
        <f>'Cas anuladas TEEM'!O142</f>
        <v>1589</v>
      </c>
      <c r="Y126" s="61">
        <v>0</v>
      </c>
      <c r="Z126" s="61">
        <v>0</v>
      </c>
    </row>
    <row r="127" spans="1:26" ht="12.75">
      <c r="A127" s="35">
        <v>120</v>
      </c>
      <c r="B127" s="44" t="s">
        <v>109</v>
      </c>
      <c r="C127" s="37">
        <v>1312</v>
      </c>
      <c r="D127" s="30">
        <f t="shared" si="11"/>
        <v>0.2624524904980996</v>
      </c>
      <c r="E127" s="29">
        <v>1932</v>
      </c>
      <c r="F127" s="30">
        <f t="shared" si="12"/>
        <v>0.3864772954590918</v>
      </c>
      <c r="G127" s="29">
        <v>1308</v>
      </c>
      <c r="H127" s="30">
        <f t="shared" si="13"/>
        <v>0.2616523304660932</v>
      </c>
      <c r="I127" s="29">
        <v>36</v>
      </c>
      <c r="J127" s="30">
        <f t="shared" si="14"/>
        <v>0.0072014402880576115</v>
      </c>
      <c r="K127" s="29">
        <v>0</v>
      </c>
      <c r="L127" s="30">
        <f t="shared" si="15"/>
        <v>0</v>
      </c>
      <c r="M127" s="29">
        <v>12</v>
      </c>
      <c r="N127" s="30">
        <f t="shared" si="16"/>
        <v>0.002400480096019204</v>
      </c>
      <c r="O127" s="29">
        <v>146</v>
      </c>
      <c r="P127" s="30">
        <f t="shared" si="17"/>
        <v>0.029205841168233646</v>
      </c>
      <c r="Q127" s="29">
        <v>0</v>
      </c>
      <c r="R127" s="30">
        <f t="shared" si="18"/>
        <v>0</v>
      </c>
      <c r="S127" s="29">
        <v>0</v>
      </c>
      <c r="T127" s="30">
        <f t="shared" si="19"/>
        <v>0</v>
      </c>
      <c r="U127" s="29">
        <v>253</v>
      </c>
      <c r="V127" s="30">
        <f t="shared" si="20"/>
        <v>0.05061012202440488</v>
      </c>
      <c r="W127" s="38">
        <f t="shared" si="21"/>
        <v>4999</v>
      </c>
      <c r="X127" s="61">
        <v>0</v>
      </c>
      <c r="Y127" s="61">
        <v>0</v>
      </c>
      <c r="Z127" s="61">
        <v>0</v>
      </c>
    </row>
    <row r="128" spans="1:26" ht="12.75">
      <c r="A128" s="35">
        <v>121</v>
      </c>
      <c r="B128" s="44" t="s">
        <v>30</v>
      </c>
      <c r="C128" s="37">
        <v>6051</v>
      </c>
      <c r="D128" s="30">
        <f t="shared" si="11"/>
        <v>0.2215266337177375</v>
      </c>
      <c r="E128" s="29">
        <v>15139</v>
      </c>
      <c r="F128" s="30">
        <f t="shared" si="12"/>
        <v>0.5542375983891634</v>
      </c>
      <c r="G128" s="29">
        <v>4684</v>
      </c>
      <c r="H128" s="30">
        <f t="shared" si="13"/>
        <v>0.17148087131612666</v>
      </c>
      <c r="I128" s="29">
        <v>377</v>
      </c>
      <c r="J128" s="30">
        <f t="shared" si="14"/>
        <v>0.013801940325828299</v>
      </c>
      <c r="K128" s="29">
        <v>0</v>
      </c>
      <c r="L128" s="30">
        <f t="shared" si="15"/>
        <v>0</v>
      </c>
      <c r="M128" s="29">
        <v>0</v>
      </c>
      <c r="N128" s="30">
        <f t="shared" si="16"/>
        <v>0</v>
      </c>
      <c r="O128" s="29">
        <v>163</v>
      </c>
      <c r="P128" s="30">
        <f t="shared" si="17"/>
        <v>0.0059674171700530845</v>
      </c>
      <c r="Q128" s="29">
        <v>253</v>
      </c>
      <c r="R128" s="30">
        <f t="shared" si="18"/>
        <v>0.009262310086033315</v>
      </c>
      <c r="S128" s="29">
        <v>2</v>
      </c>
      <c r="T128" s="30">
        <f t="shared" si="19"/>
        <v>7.321984257733846E-05</v>
      </c>
      <c r="U128" s="29">
        <v>646</v>
      </c>
      <c r="V128" s="30">
        <f t="shared" si="20"/>
        <v>0.023650009152480323</v>
      </c>
      <c r="W128" s="38">
        <f t="shared" si="21"/>
        <v>27315</v>
      </c>
      <c r="X128" s="61">
        <v>0</v>
      </c>
      <c r="Y128" s="61">
        <v>0</v>
      </c>
      <c r="Z128" s="61">
        <v>0</v>
      </c>
    </row>
    <row r="129" spans="1:26" ht="12.75">
      <c r="A129" s="35">
        <v>122</v>
      </c>
      <c r="B129" s="44" t="s">
        <v>110</v>
      </c>
      <c r="C129" s="37">
        <v>8374</v>
      </c>
      <c r="D129" s="30">
        <f t="shared" si="11"/>
        <v>0.11303843090671022</v>
      </c>
      <c r="E129" s="29">
        <v>20276</v>
      </c>
      <c r="F129" s="30">
        <f t="shared" si="12"/>
        <v>0.2737004090117574</v>
      </c>
      <c r="G129" s="29">
        <v>38243</v>
      </c>
      <c r="H129" s="30">
        <f t="shared" si="13"/>
        <v>0.5162322322862812</v>
      </c>
      <c r="I129" s="29">
        <v>1721</v>
      </c>
      <c r="J129" s="30">
        <f t="shared" si="14"/>
        <v>0.023231327870844077</v>
      </c>
      <c r="K129" s="29">
        <v>1454</v>
      </c>
      <c r="L129" s="30">
        <f t="shared" si="15"/>
        <v>0.01962716486008558</v>
      </c>
      <c r="M129" s="29">
        <v>413</v>
      </c>
      <c r="N129" s="30">
        <f t="shared" si="16"/>
        <v>0.005574978739487858</v>
      </c>
      <c r="O129" s="29">
        <v>230</v>
      </c>
      <c r="P129" s="30">
        <f t="shared" si="17"/>
        <v>0.0031047097096421486</v>
      </c>
      <c r="Q129" s="29">
        <v>203</v>
      </c>
      <c r="R129" s="30">
        <f t="shared" si="18"/>
        <v>0.0027402437872058962</v>
      </c>
      <c r="S129" s="29">
        <v>36</v>
      </c>
      <c r="T129" s="30">
        <f t="shared" si="19"/>
        <v>0.0004859545632483363</v>
      </c>
      <c r="U129" s="29">
        <v>3131</v>
      </c>
      <c r="V129" s="30">
        <f t="shared" si="20"/>
        <v>0.042264548264737245</v>
      </c>
      <c r="W129" s="38">
        <f t="shared" si="21"/>
        <v>74081</v>
      </c>
      <c r="X129" s="61">
        <v>0</v>
      </c>
      <c r="Y129" s="61">
        <v>0</v>
      </c>
      <c r="Z129" s="61">
        <v>0</v>
      </c>
    </row>
    <row r="130" spans="1:26" ht="15">
      <c r="A130" s="35">
        <v>123</v>
      </c>
      <c r="B130" s="44" t="s">
        <v>170</v>
      </c>
      <c r="C130" s="37">
        <f>557-'Cas anuladas TEEM'!E150+'Cas anuladas TEPJF'!E102</f>
        <v>545</v>
      </c>
      <c r="D130" s="30">
        <f t="shared" si="11"/>
        <v>0.06903977704585762</v>
      </c>
      <c r="E130" s="29">
        <f>3308-'Cas anuladas TEEM'!F150+'Cas anuladas TEPJF'!F102</f>
        <v>3188</v>
      </c>
      <c r="F130" s="30">
        <f t="shared" si="12"/>
        <v>0.40385102609576895</v>
      </c>
      <c r="G130" s="29">
        <f>3766-'Cas anuladas TEEM'!G150+'Cas anuladas TEPJF'!G102</f>
        <v>3607</v>
      </c>
      <c r="H130" s="30">
        <f t="shared" si="13"/>
        <v>0.45692931340258425</v>
      </c>
      <c r="I130" s="29">
        <f>111-'Cas anuladas TEEM'!H150+'Cas anuladas TEPJF'!H102</f>
        <v>110</v>
      </c>
      <c r="J130" s="30">
        <f t="shared" si="14"/>
        <v>0.013934633899163922</v>
      </c>
      <c r="K130" s="29">
        <f>169-'Cas anuladas TEEM'!I150+'Cas anuladas TEPJF'!I102</f>
        <v>166</v>
      </c>
      <c r="L130" s="30">
        <f t="shared" si="15"/>
        <v>0.02102862933873828</v>
      </c>
      <c r="M130" s="29">
        <f>0-'Cas anuladas TEEM'!J150+'Cas anuladas TEPJF'!J102</f>
        <v>0</v>
      </c>
      <c r="N130" s="30">
        <f t="shared" si="16"/>
        <v>0</v>
      </c>
      <c r="O130" s="29">
        <f>0-'Cas anuladas TEEM'!K150+'Cas anuladas TEPJF'!K102</f>
        <v>0</v>
      </c>
      <c r="P130" s="30">
        <f t="shared" si="17"/>
        <v>0</v>
      </c>
      <c r="Q130" s="29">
        <f>55-'Cas anuladas TEEM'!L150+'Cas anuladas TEPJF'!L102</f>
        <v>49</v>
      </c>
      <c r="R130" s="30">
        <f t="shared" si="18"/>
        <v>0.006207246009627565</v>
      </c>
      <c r="S130" s="29">
        <f>3-'Cas anuladas TEEM'!M150+'Cas anuladas TEPJF'!M102</f>
        <v>3</v>
      </c>
      <c r="T130" s="30">
        <f t="shared" si="19"/>
        <v>0.00038003546997719787</v>
      </c>
      <c r="U130" s="29">
        <f>242-'Cas anuladas TEEM'!N150+'Cas anuladas TEPJF'!N102</f>
        <v>226</v>
      </c>
      <c r="V130" s="30">
        <f t="shared" si="20"/>
        <v>0.028629338738282238</v>
      </c>
      <c r="W130" s="38">
        <f t="shared" si="21"/>
        <v>7894</v>
      </c>
      <c r="X130" s="61">
        <f>'Cas anuladas TEEM'!O150</f>
        <v>1069</v>
      </c>
      <c r="Y130" s="61">
        <f>'Cas anuladas TEPJF'!O102</f>
        <v>752</v>
      </c>
      <c r="Z130" s="61">
        <v>0</v>
      </c>
    </row>
    <row r="131" spans="1:26" ht="12.75">
      <c r="A131" s="35">
        <v>124</v>
      </c>
      <c r="B131" s="39" t="s">
        <v>111</v>
      </c>
      <c r="C131" s="40">
        <v>3099</v>
      </c>
      <c r="D131" s="41">
        <f t="shared" si="11"/>
        <v>0.23015224656516894</v>
      </c>
      <c r="E131" s="42">
        <v>5238</v>
      </c>
      <c r="F131" s="41">
        <f t="shared" si="12"/>
        <v>0.3890085406609729</v>
      </c>
      <c r="G131" s="42">
        <v>1226</v>
      </c>
      <c r="H131" s="41">
        <f t="shared" si="13"/>
        <v>0.09105087263275158</v>
      </c>
      <c r="I131" s="42">
        <v>398</v>
      </c>
      <c r="J131" s="41">
        <f t="shared" si="14"/>
        <v>0.029558113627924248</v>
      </c>
      <c r="K131" s="42">
        <v>21</v>
      </c>
      <c r="L131" s="41">
        <f t="shared" si="15"/>
        <v>0.00155959896026736</v>
      </c>
      <c r="M131" s="42">
        <v>1950</v>
      </c>
      <c r="N131" s="41">
        <f t="shared" si="16"/>
        <v>0.1448199034533977</v>
      </c>
      <c r="O131" s="42">
        <v>0</v>
      </c>
      <c r="P131" s="41">
        <f t="shared" si="17"/>
        <v>0</v>
      </c>
      <c r="Q131" s="42">
        <v>409</v>
      </c>
      <c r="R131" s="41">
        <f t="shared" si="18"/>
        <v>0.030375046416635722</v>
      </c>
      <c r="S131" s="42">
        <v>4</v>
      </c>
      <c r="T131" s="41">
        <f t="shared" si="19"/>
        <v>0.00029706646862235426</v>
      </c>
      <c r="U131" s="42">
        <v>1120</v>
      </c>
      <c r="V131" s="41">
        <f>U131/$W131</f>
        <v>0.0831786112142592</v>
      </c>
      <c r="W131" s="43">
        <f t="shared" si="21"/>
        <v>13465</v>
      </c>
      <c r="X131" s="82">
        <v>0</v>
      </c>
      <c r="Y131" s="82">
        <v>0</v>
      </c>
      <c r="Z131" s="82">
        <v>0</v>
      </c>
    </row>
    <row r="133" ht="13.5">
      <c r="B133" s="57" t="s">
        <v>119</v>
      </c>
    </row>
    <row r="134" ht="13.5">
      <c r="B134" s="57" t="s">
        <v>124</v>
      </c>
    </row>
    <row r="135" ht="13.5">
      <c r="B135" s="57" t="s">
        <v>127</v>
      </c>
    </row>
    <row r="136" ht="13.5">
      <c r="B136" s="57" t="s">
        <v>126</v>
      </c>
    </row>
    <row r="137" ht="13.5">
      <c r="B137" s="57" t="s">
        <v>131</v>
      </c>
    </row>
    <row r="138" ht="13.5">
      <c r="B138" s="57" t="s">
        <v>137</v>
      </c>
    </row>
    <row r="139" ht="13.5">
      <c r="B139" s="57" t="s">
        <v>146</v>
      </c>
    </row>
    <row r="140" ht="13.5">
      <c r="B140" s="57" t="s">
        <v>144</v>
      </c>
    </row>
    <row r="141" ht="13.5">
      <c r="B141" s="57" t="s">
        <v>145</v>
      </c>
    </row>
    <row r="142" ht="13.5">
      <c r="B142" s="57" t="s">
        <v>150</v>
      </c>
    </row>
    <row r="143" ht="13.5">
      <c r="B143" s="57" t="s">
        <v>200</v>
      </c>
    </row>
    <row r="144" ht="13.5">
      <c r="B144" s="57" t="s">
        <v>151</v>
      </c>
    </row>
    <row r="145" ht="13.5">
      <c r="B145" s="57" t="s">
        <v>152</v>
      </c>
    </row>
    <row r="146" ht="13.5">
      <c r="B146" s="57" t="s">
        <v>153</v>
      </c>
    </row>
    <row r="147" ht="13.5">
      <c r="B147" s="57" t="s">
        <v>161</v>
      </c>
    </row>
    <row r="148" ht="13.5">
      <c r="B148" s="57" t="s">
        <v>216</v>
      </c>
    </row>
    <row r="149" ht="13.5">
      <c r="B149" s="57" t="s">
        <v>154</v>
      </c>
    </row>
    <row r="150" ht="13.5">
      <c r="B150" s="57" t="s">
        <v>155</v>
      </c>
    </row>
    <row r="151" ht="13.5">
      <c r="B151" s="57" t="s">
        <v>201</v>
      </c>
    </row>
    <row r="152" ht="13.5">
      <c r="B152" s="57" t="s">
        <v>156</v>
      </c>
    </row>
    <row r="153" ht="13.5">
      <c r="B153" s="57" t="s">
        <v>214</v>
      </c>
    </row>
    <row r="154" ht="13.5">
      <c r="B154" s="57" t="s">
        <v>207</v>
      </c>
    </row>
    <row r="155" ht="13.5">
      <c r="B155" s="57" t="s">
        <v>215</v>
      </c>
    </row>
    <row r="156" ht="13.5">
      <c r="B156" s="57" t="s">
        <v>172</v>
      </c>
    </row>
    <row r="157" ht="13.5">
      <c r="B157" s="57" t="s">
        <v>175</v>
      </c>
    </row>
    <row r="158" ht="13.5">
      <c r="B158" s="57" t="s">
        <v>176</v>
      </c>
    </row>
    <row r="159" ht="13.5">
      <c r="B159" s="57" t="s">
        <v>178</v>
      </c>
    </row>
    <row r="160" ht="13.5">
      <c r="B160" s="57" t="s">
        <v>184</v>
      </c>
    </row>
    <row r="161" ht="13.5">
      <c r="B161" s="57" t="s">
        <v>193</v>
      </c>
    </row>
    <row r="162" ht="13.5">
      <c r="B162" s="57" t="s">
        <v>206</v>
      </c>
    </row>
    <row r="163" ht="13.5">
      <c r="B163" s="57" t="s">
        <v>219</v>
      </c>
    </row>
  </sheetData>
  <mergeCells count="1">
    <mergeCell ref="A7:B7"/>
  </mergeCells>
  <conditionalFormatting sqref="C8:C17 C104:C131 C19:C102">
    <cfRule type="cellIs" priority="1" dxfId="0" operator="equal" stopIfTrue="1">
      <formula>#REF!</formula>
    </cfRule>
  </conditionalFormatting>
  <conditionalFormatting sqref="D8:D17 D104:D131 D19:D102">
    <cfRule type="cellIs" priority="2" dxfId="0" operator="equal" stopIfTrue="1">
      <formula>#REF!</formula>
    </cfRule>
  </conditionalFormatting>
  <conditionalFormatting sqref="G8:G17 G19:G26 G104:G131 G28:G32 G34:G80 G82:G102">
    <cfRule type="cellIs" priority="3" dxfId="1" operator="equal" stopIfTrue="1">
      <formula>#REF!</formula>
    </cfRule>
  </conditionalFormatting>
  <conditionalFormatting sqref="H8:H17 H19:H26 H104:H131 H28:H32 H34:H102">
    <cfRule type="cellIs" priority="4" dxfId="1" operator="equal" stopIfTrue="1">
      <formula>#REF!</formula>
    </cfRule>
  </conditionalFormatting>
  <conditionalFormatting sqref="E8:E17 E19:E26 E104:E131 E28:E32 E34:E102">
    <cfRule type="cellIs" priority="5" dxfId="2" operator="equal" stopIfTrue="1">
      <formula>#REF!</formula>
    </cfRule>
  </conditionalFormatting>
  <conditionalFormatting sqref="F8:F17 F19:F26 F104:F131 F28:F32 F34:F102">
    <cfRule type="cellIs" priority="6" dxfId="2" operator="equal" stopIfTrue="1">
      <formula>#REF!</formula>
    </cfRule>
  </conditionalFormatting>
  <conditionalFormatting sqref="I8:I17 I19:I26 I28:I102 I104:I131">
    <cfRule type="cellIs" priority="7" dxfId="3" operator="equal" stopIfTrue="1">
      <formula>#REF!</formula>
    </cfRule>
  </conditionalFormatting>
  <conditionalFormatting sqref="J8:J17 J19:J26 J28:J102 J104:J131">
    <cfRule type="cellIs" priority="8" dxfId="3" operator="equal" stopIfTrue="1">
      <formula>#REF!</formula>
    </cfRule>
  </conditionalFormatting>
  <conditionalFormatting sqref="K8:K17 K19:K26 K28:K102 K104:K131">
    <cfRule type="cellIs" priority="9" dxfId="4" operator="equal" stopIfTrue="1">
      <formula>#REF!</formula>
    </cfRule>
  </conditionalFormatting>
  <conditionalFormatting sqref="L8:L17 L19:L26 L28:L102 L104:L131">
    <cfRule type="cellIs" priority="10" dxfId="4" operator="equal" stopIfTrue="1">
      <formula>#REF!</formula>
    </cfRule>
  </conditionalFormatting>
  <conditionalFormatting sqref="M8:M17 M19:M26 M104:M131 M28:M32 M34:M102">
    <cfRule type="cellIs" priority="11" dxfId="5" operator="equal" stopIfTrue="1">
      <formula>#REF!</formula>
    </cfRule>
  </conditionalFormatting>
  <conditionalFormatting sqref="N8:N17 N19:N26 N104:N131 N28:N32 N34:N102">
    <cfRule type="cellIs" priority="12" dxfId="5" operator="equal" stopIfTrue="1">
      <formula>#REF!</formula>
    </cfRule>
  </conditionalFormatting>
  <conditionalFormatting sqref="O8:O17 O19:O26 O28:O102 O104:O131">
    <cfRule type="cellIs" priority="13" dxfId="6" operator="equal" stopIfTrue="1">
      <formula>#REF!</formula>
    </cfRule>
  </conditionalFormatting>
  <conditionalFormatting sqref="P8:P17 P19:P26 P28:P102 P104:P131">
    <cfRule type="cellIs" priority="14" dxfId="6" operator="equal" stopIfTrue="1">
      <formula>#REF!</formula>
    </cfRule>
  </conditionalFormatting>
  <conditionalFormatting sqref="G81">
    <cfRule type="cellIs" priority="15" dxfId="7" operator="equal" stopIfTrue="1">
      <formula>#REF!</formula>
    </cfRule>
  </conditionalFormatting>
  <printOptions horizontalCentered="1"/>
  <pageMargins left="0.984251968503937" right="0.5905511811023623" top="0.71" bottom="0.6" header="0.2755905511811024" footer="0.2755905511811024"/>
  <pageSetup fitToHeight="0" fitToWidth="1" horizontalDpi="600" verticalDpi="600" orientation="landscape" paperSize="5" scale="66" r:id="rId2"/>
  <headerFooter alignWithMargins="0">
    <oddFooter>&amp;C&amp;"Arial Narrow,Normal"&amp;9&amp;P de &amp;N&amp;R&amp;"Arial Narrow,Normal"&amp;9&amp;D -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3"/>
  <sheetViews>
    <sheetView workbookViewId="0" topLeftCell="A4">
      <pane xSplit="2" ySplit="4" topLeftCell="K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43" sqref="C43"/>
    </sheetView>
  </sheetViews>
  <sheetFormatPr defaultColWidth="11.421875" defaultRowHeight="12.75"/>
  <cols>
    <col min="1" max="1" width="3.7109375" style="0" customWidth="1"/>
    <col min="2" max="2" width="26.00390625" style="0" customWidth="1"/>
    <col min="3" max="4" width="7.421875" style="0" customWidth="1"/>
    <col min="5" max="15" width="9.7109375" style="0" customWidth="1"/>
  </cols>
  <sheetData>
    <row r="1" spans="1:15" ht="15.75">
      <c r="A1" t="s">
        <v>0</v>
      </c>
      <c r="D1" s="1" t="s">
        <v>1</v>
      </c>
      <c r="E1" s="1"/>
      <c r="O1" s="2"/>
    </row>
    <row r="2" spans="4:15" ht="15">
      <c r="D2" s="5" t="s">
        <v>2</v>
      </c>
      <c r="E2" s="4"/>
      <c r="O2" s="2"/>
    </row>
    <row r="3" spans="4:15" ht="15">
      <c r="D3" s="4" t="s">
        <v>118</v>
      </c>
      <c r="E3" s="6"/>
      <c r="O3" s="2"/>
    </row>
    <row r="4" spans="1:15" ht="20.25">
      <c r="A4" s="7"/>
      <c r="B4" s="8"/>
      <c r="C4" s="4" t="s">
        <v>209</v>
      </c>
      <c r="D4" s="8"/>
      <c r="E4" s="7"/>
      <c r="F4" s="7"/>
      <c r="G4" s="9"/>
      <c r="H4" s="9"/>
      <c r="I4" s="8"/>
      <c r="J4" s="8"/>
      <c r="K4" s="8"/>
      <c r="L4" s="8"/>
      <c r="M4" s="8"/>
      <c r="N4" s="8"/>
      <c r="O4" s="10"/>
    </row>
    <row r="5" spans="1:15" ht="39">
      <c r="A5" s="11" t="s">
        <v>34</v>
      </c>
      <c r="B5" s="12"/>
      <c r="C5" s="47" t="s">
        <v>113</v>
      </c>
      <c r="D5" s="47" t="s">
        <v>114</v>
      </c>
      <c r="E5" s="13" t="s">
        <v>3</v>
      </c>
      <c r="F5" s="48" t="s">
        <v>115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48" t="s">
        <v>12</v>
      </c>
      <c r="O5" s="49" t="s">
        <v>13</v>
      </c>
    </row>
    <row r="6" spans="1:15" ht="12.75">
      <c r="A6" s="113" t="s">
        <v>116</v>
      </c>
      <c r="B6" s="114"/>
      <c r="C6" s="50"/>
      <c r="D6" s="50"/>
      <c r="E6" s="51">
        <f>E8+E21+E22+E23+E24+E25+E31+E42+E45+E57+E60+E65+E66+E67+E70+E80+E81+E82+E94+E97+E98+E113+E114+E129+E132+E136+E142+E150</f>
        <v>7324</v>
      </c>
      <c r="F6" s="51">
        <f aca="true" t="shared" si="0" ref="F6:O6">F8+F21+F22+F23+F24+F25+F31+F42+F45+F57+F60+F65+F66+F67+F70+F80+F81+F82+F94+F97+F98+F113+F114+F129+F132+F136+F142+F150</f>
        <v>10222</v>
      </c>
      <c r="G6" s="51">
        <f t="shared" si="0"/>
        <v>6928</v>
      </c>
      <c r="H6" s="51">
        <f t="shared" si="0"/>
        <v>2147</v>
      </c>
      <c r="I6" s="51">
        <f t="shared" si="0"/>
        <v>967</v>
      </c>
      <c r="J6" s="51">
        <f t="shared" si="0"/>
        <v>202</v>
      </c>
      <c r="K6" s="51">
        <f t="shared" si="0"/>
        <v>445</v>
      </c>
      <c r="L6" s="51">
        <f t="shared" si="0"/>
        <v>410</v>
      </c>
      <c r="M6" s="51">
        <f t="shared" si="0"/>
        <v>6</v>
      </c>
      <c r="N6" s="51">
        <f t="shared" si="0"/>
        <v>852</v>
      </c>
      <c r="O6" s="51">
        <f t="shared" si="0"/>
        <v>29503</v>
      </c>
    </row>
    <row r="7" spans="1:15" ht="12.75">
      <c r="A7" s="52"/>
      <c r="B7" s="53" t="s">
        <v>117</v>
      </c>
      <c r="C7" s="53"/>
      <c r="D7" s="53"/>
      <c r="E7" s="54">
        <f>E6/$O6</f>
        <v>0.24824594109073653</v>
      </c>
      <c r="F7" s="54">
        <f aca="true" t="shared" si="1" ref="F7:O7">F6/$O6</f>
        <v>0.34647324000949054</v>
      </c>
      <c r="G7" s="54">
        <f t="shared" si="1"/>
        <v>0.23482357726332914</v>
      </c>
      <c r="H7" s="54">
        <f t="shared" si="1"/>
        <v>0.07277226044809003</v>
      </c>
      <c r="I7" s="54">
        <f t="shared" si="1"/>
        <v>0.03277632783106803</v>
      </c>
      <c r="J7" s="54">
        <f t="shared" si="1"/>
        <v>0.006846761346303766</v>
      </c>
      <c r="K7" s="54">
        <f t="shared" si="1"/>
        <v>0.015083211876758295</v>
      </c>
      <c r="L7" s="54">
        <f t="shared" si="1"/>
        <v>0.013896891841507643</v>
      </c>
      <c r="M7" s="54">
        <f t="shared" si="1"/>
        <v>0.00020336914890011184</v>
      </c>
      <c r="N7" s="54">
        <f t="shared" si="1"/>
        <v>0.028878419143815882</v>
      </c>
      <c r="O7" s="54">
        <f t="shared" si="1"/>
        <v>1</v>
      </c>
    </row>
    <row r="8" spans="1:15" ht="15">
      <c r="A8" s="35">
        <v>8</v>
      </c>
      <c r="B8" s="36" t="s">
        <v>138</v>
      </c>
      <c r="C8" s="68">
        <v>175</v>
      </c>
      <c r="D8" s="68" t="s">
        <v>120</v>
      </c>
      <c r="E8" s="55">
        <v>29</v>
      </c>
      <c r="F8" s="55">
        <v>166</v>
      </c>
      <c r="G8" s="55">
        <v>181</v>
      </c>
      <c r="H8" s="55">
        <v>0</v>
      </c>
      <c r="I8" s="55">
        <v>0</v>
      </c>
      <c r="J8" s="78">
        <v>1</v>
      </c>
      <c r="K8" s="55">
        <v>4</v>
      </c>
      <c r="L8" s="55">
        <v>0</v>
      </c>
      <c r="M8" s="55">
        <v>0</v>
      </c>
      <c r="N8" s="78">
        <v>15</v>
      </c>
      <c r="O8" s="56">
        <f>SUM(E8:N8)</f>
        <v>396</v>
      </c>
    </row>
    <row r="9" spans="1:15" ht="15">
      <c r="A9" s="35">
        <v>11</v>
      </c>
      <c r="B9" s="36" t="s">
        <v>185</v>
      </c>
      <c r="C9" s="68">
        <v>233</v>
      </c>
      <c r="D9" s="68" t="s">
        <v>120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6">
        <f aca="true" t="shared" si="2" ref="O9:O21">SUM(E9:N9)</f>
        <v>0</v>
      </c>
    </row>
    <row r="10" spans="1:15" ht="12.75">
      <c r="A10" s="35"/>
      <c r="B10" s="36"/>
      <c r="C10" s="68">
        <v>234</v>
      </c>
      <c r="D10" s="68" t="s">
        <v>132</v>
      </c>
      <c r="E10" s="55">
        <v>0</v>
      </c>
      <c r="F10" s="55">
        <v>5</v>
      </c>
      <c r="G10" s="55">
        <v>3</v>
      </c>
      <c r="H10" s="55">
        <v>1</v>
      </c>
      <c r="I10" s="55">
        <v>0</v>
      </c>
      <c r="J10" s="55">
        <v>0</v>
      </c>
      <c r="K10" s="55">
        <v>1</v>
      </c>
      <c r="L10" s="55">
        <v>0</v>
      </c>
      <c r="M10" s="55">
        <v>0</v>
      </c>
      <c r="N10" s="55">
        <v>0</v>
      </c>
      <c r="O10" s="56">
        <f t="shared" si="2"/>
        <v>10</v>
      </c>
    </row>
    <row r="11" spans="1:15" ht="12.75">
      <c r="A11" s="35"/>
      <c r="B11" s="36"/>
      <c r="C11" s="68">
        <v>234</v>
      </c>
      <c r="D11" s="68" t="s">
        <v>120</v>
      </c>
      <c r="E11" s="55">
        <v>1</v>
      </c>
      <c r="F11" s="55">
        <v>2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6">
        <f t="shared" si="2"/>
        <v>3</v>
      </c>
    </row>
    <row r="12" spans="1:15" ht="12.75">
      <c r="A12" s="35"/>
      <c r="B12" s="36"/>
      <c r="C12" s="68">
        <v>234</v>
      </c>
      <c r="D12" s="68" t="s">
        <v>134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6">
        <f t="shared" si="2"/>
        <v>0</v>
      </c>
    </row>
    <row r="13" spans="1:15" ht="12.75">
      <c r="A13" s="35"/>
      <c r="B13" s="36"/>
      <c r="C13" s="68">
        <v>237</v>
      </c>
      <c r="D13" s="68" t="s">
        <v>132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6">
        <f t="shared" si="2"/>
        <v>0</v>
      </c>
    </row>
    <row r="14" spans="1:15" ht="12.75">
      <c r="A14" s="35"/>
      <c r="B14" s="36"/>
      <c r="C14" s="68">
        <v>237</v>
      </c>
      <c r="D14" s="68" t="s">
        <v>120</v>
      </c>
      <c r="E14" s="55">
        <v>0</v>
      </c>
      <c r="F14" s="55">
        <v>2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6">
        <f t="shared" si="2"/>
        <v>2</v>
      </c>
    </row>
    <row r="15" spans="1:15" ht="12.75">
      <c r="A15" s="35"/>
      <c r="B15" s="36"/>
      <c r="C15" s="68">
        <v>237</v>
      </c>
      <c r="D15" s="68" t="s">
        <v>134</v>
      </c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6">
        <f t="shared" si="2"/>
        <v>0</v>
      </c>
    </row>
    <row r="16" spans="1:15" ht="12.75">
      <c r="A16" s="35"/>
      <c r="B16" s="36"/>
      <c r="C16" s="68">
        <v>244</v>
      </c>
      <c r="D16" s="68" t="s">
        <v>132</v>
      </c>
      <c r="E16" s="55">
        <v>8</v>
      </c>
      <c r="F16" s="55">
        <v>20</v>
      </c>
      <c r="G16" s="55">
        <v>5</v>
      </c>
      <c r="H16" s="55">
        <v>0</v>
      </c>
      <c r="I16" s="55">
        <v>0</v>
      </c>
      <c r="J16" s="55">
        <v>0</v>
      </c>
      <c r="K16" s="55">
        <v>1</v>
      </c>
      <c r="L16" s="55">
        <v>0</v>
      </c>
      <c r="M16" s="55">
        <v>0</v>
      </c>
      <c r="N16" s="55">
        <v>0</v>
      </c>
      <c r="O16" s="56">
        <f t="shared" si="2"/>
        <v>34</v>
      </c>
    </row>
    <row r="17" spans="1:15" ht="12.75">
      <c r="A17" s="35"/>
      <c r="B17" s="36"/>
      <c r="C17" s="68">
        <v>244</v>
      </c>
      <c r="D17" s="68" t="s">
        <v>120</v>
      </c>
      <c r="E17" s="55">
        <v>3</v>
      </c>
      <c r="F17" s="55">
        <v>36</v>
      </c>
      <c r="G17" s="55">
        <v>4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1</v>
      </c>
      <c r="O17" s="56">
        <f t="shared" si="2"/>
        <v>44</v>
      </c>
    </row>
    <row r="18" spans="1:15" ht="12.75">
      <c r="A18" s="35"/>
      <c r="B18" s="36"/>
      <c r="C18" s="68">
        <v>245</v>
      </c>
      <c r="D18" s="68" t="s">
        <v>132</v>
      </c>
      <c r="E18" s="55">
        <v>6</v>
      </c>
      <c r="F18" s="55">
        <v>8</v>
      </c>
      <c r="G18" s="55">
        <v>11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6">
        <f t="shared" si="2"/>
        <v>25</v>
      </c>
    </row>
    <row r="19" spans="1:15" ht="12.75">
      <c r="A19" s="35"/>
      <c r="B19" s="36"/>
      <c r="C19" s="68">
        <v>245</v>
      </c>
      <c r="D19" s="68" t="s">
        <v>120</v>
      </c>
      <c r="E19" s="55">
        <v>2</v>
      </c>
      <c r="F19" s="55">
        <v>15</v>
      </c>
      <c r="G19" s="55">
        <v>6</v>
      </c>
      <c r="H19" s="55">
        <v>2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1</v>
      </c>
      <c r="O19" s="56">
        <f t="shared" si="2"/>
        <v>26</v>
      </c>
    </row>
    <row r="20" spans="1:15" ht="12.75">
      <c r="A20" s="35"/>
      <c r="B20" s="36"/>
      <c r="C20" s="68">
        <v>245</v>
      </c>
      <c r="D20" s="68" t="s">
        <v>168</v>
      </c>
      <c r="E20" s="55">
        <v>2</v>
      </c>
      <c r="F20" s="55">
        <v>9</v>
      </c>
      <c r="G20" s="55">
        <v>2</v>
      </c>
      <c r="H20" s="55">
        <v>1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f t="shared" si="2"/>
        <v>14</v>
      </c>
    </row>
    <row r="21" spans="1:15" ht="12.75">
      <c r="A21" s="35"/>
      <c r="B21" s="77" t="s">
        <v>135</v>
      </c>
      <c r="C21" s="68"/>
      <c r="D21" s="68"/>
      <c r="E21" s="55">
        <f>SUM(E9:E20)</f>
        <v>22</v>
      </c>
      <c r="F21" s="55">
        <f aca="true" t="shared" si="3" ref="F21:N21">SUM(F9:F20)</f>
        <v>97</v>
      </c>
      <c r="G21" s="55">
        <f t="shared" si="3"/>
        <v>31</v>
      </c>
      <c r="H21" s="55">
        <f t="shared" si="3"/>
        <v>4</v>
      </c>
      <c r="I21" s="55">
        <f t="shared" si="3"/>
        <v>0</v>
      </c>
      <c r="J21" s="55">
        <f t="shared" si="3"/>
        <v>0</v>
      </c>
      <c r="K21" s="55">
        <f t="shared" si="3"/>
        <v>2</v>
      </c>
      <c r="L21" s="55">
        <f t="shared" si="3"/>
        <v>0</v>
      </c>
      <c r="M21" s="55">
        <f t="shared" si="3"/>
        <v>0</v>
      </c>
      <c r="N21" s="55">
        <f t="shared" si="3"/>
        <v>2</v>
      </c>
      <c r="O21" s="56">
        <f t="shared" si="2"/>
        <v>158</v>
      </c>
    </row>
    <row r="22" spans="1:15" ht="15">
      <c r="A22" s="35">
        <v>15</v>
      </c>
      <c r="B22" s="36" t="s">
        <v>186</v>
      </c>
      <c r="C22" s="68">
        <v>458</v>
      </c>
      <c r="D22" s="68" t="s">
        <v>120</v>
      </c>
      <c r="E22" s="55">
        <v>76</v>
      </c>
      <c r="F22" s="55">
        <v>98</v>
      </c>
      <c r="G22" s="55">
        <v>39</v>
      </c>
      <c r="H22" s="55">
        <v>4</v>
      </c>
      <c r="I22" s="55">
        <v>6</v>
      </c>
      <c r="J22" s="55">
        <v>1</v>
      </c>
      <c r="K22" s="55">
        <v>6</v>
      </c>
      <c r="L22" s="55">
        <v>100</v>
      </c>
      <c r="M22" s="55">
        <v>0</v>
      </c>
      <c r="N22" s="55">
        <v>8</v>
      </c>
      <c r="O22" s="56">
        <f>SUM(E22:N22)</f>
        <v>338</v>
      </c>
    </row>
    <row r="23" spans="1:15" ht="15">
      <c r="A23" s="35">
        <v>18</v>
      </c>
      <c r="B23" s="36" t="s">
        <v>125</v>
      </c>
      <c r="C23" s="69">
        <v>498</v>
      </c>
      <c r="D23" s="69" t="s">
        <v>120</v>
      </c>
      <c r="E23" s="69">
        <v>54</v>
      </c>
      <c r="F23" s="69">
        <v>165</v>
      </c>
      <c r="G23" s="69">
        <v>84</v>
      </c>
      <c r="H23" s="69">
        <v>1</v>
      </c>
      <c r="I23" s="69">
        <v>0</v>
      </c>
      <c r="J23" s="69">
        <v>26</v>
      </c>
      <c r="K23" s="69">
        <v>2</v>
      </c>
      <c r="L23" s="69">
        <v>0</v>
      </c>
      <c r="M23" s="69">
        <v>1</v>
      </c>
      <c r="N23" s="69">
        <v>8</v>
      </c>
      <c r="O23" s="56">
        <f>SUM(E23:N23)</f>
        <v>341</v>
      </c>
    </row>
    <row r="24" spans="1:15" ht="15">
      <c r="A24" s="35">
        <v>20</v>
      </c>
      <c r="B24" s="36" t="s">
        <v>171</v>
      </c>
      <c r="C24" s="69">
        <v>560</v>
      </c>
      <c r="D24" s="69" t="s">
        <v>120</v>
      </c>
      <c r="E24" s="69">
        <v>180</v>
      </c>
      <c r="F24" s="69">
        <v>119</v>
      </c>
      <c r="G24" s="69">
        <v>47</v>
      </c>
      <c r="H24" s="69">
        <v>7</v>
      </c>
      <c r="I24" s="69">
        <v>2</v>
      </c>
      <c r="J24" s="69">
        <v>2</v>
      </c>
      <c r="K24" s="69">
        <v>3</v>
      </c>
      <c r="L24" s="69">
        <v>0</v>
      </c>
      <c r="M24" s="69">
        <v>0</v>
      </c>
      <c r="N24" s="69">
        <v>11</v>
      </c>
      <c r="O24" s="56">
        <f>SUM(E24:N24)</f>
        <v>371</v>
      </c>
    </row>
    <row r="25" spans="1:15" ht="15">
      <c r="A25" s="35">
        <v>24</v>
      </c>
      <c r="B25" s="36" t="s">
        <v>158</v>
      </c>
      <c r="C25" s="69">
        <v>670</v>
      </c>
      <c r="D25" s="69" t="s">
        <v>133</v>
      </c>
      <c r="E25" s="69">
        <v>97</v>
      </c>
      <c r="F25" s="69">
        <v>98</v>
      </c>
      <c r="G25" s="69">
        <v>20</v>
      </c>
      <c r="H25" s="69">
        <v>44</v>
      </c>
      <c r="I25" s="69">
        <v>36</v>
      </c>
      <c r="J25" s="69">
        <v>0</v>
      </c>
      <c r="K25" s="69">
        <v>1</v>
      </c>
      <c r="L25" s="69">
        <v>0</v>
      </c>
      <c r="M25" s="69">
        <v>0</v>
      </c>
      <c r="N25" s="69">
        <v>7</v>
      </c>
      <c r="O25" s="56">
        <f>SUM(E25:N25)</f>
        <v>303</v>
      </c>
    </row>
    <row r="26" spans="1:15" ht="15">
      <c r="A26" s="35">
        <v>25</v>
      </c>
      <c r="B26" s="36" t="s">
        <v>192</v>
      </c>
      <c r="C26" s="69">
        <v>792</v>
      </c>
      <c r="D26" s="69" t="s">
        <v>134</v>
      </c>
      <c r="E26" s="69">
        <v>191</v>
      </c>
      <c r="F26" s="69">
        <v>91</v>
      </c>
      <c r="G26" s="69">
        <v>23</v>
      </c>
      <c r="H26" s="69">
        <v>33</v>
      </c>
      <c r="I26" s="69">
        <v>3</v>
      </c>
      <c r="J26" s="69">
        <v>3</v>
      </c>
      <c r="K26" s="69">
        <v>1</v>
      </c>
      <c r="L26" s="69">
        <v>2</v>
      </c>
      <c r="M26" s="69">
        <v>0</v>
      </c>
      <c r="N26" s="69">
        <v>5</v>
      </c>
      <c r="O26" s="56">
        <f aca="true" t="shared" si="4" ref="O26:O31">SUM(E26:N26)</f>
        <v>352</v>
      </c>
    </row>
    <row r="27" spans="1:15" ht="12.75">
      <c r="A27" s="35"/>
      <c r="B27" s="86" t="s">
        <v>194</v>
      </c>
      <c r="C27" s="69">
        <v>695</v>
      </c>
      <c r="D27" s="69" t="s">
        <v>132</v>
      </c>
      <c r="E27" s="69">
        <v>99</v>
      </c>
      <c r="F27" s="69">
        <v>123</v>
      </c>
      <c r="G27" s="69">
        <v>35</v>
      </c>
      <c r="H27" s="69">
        <v>7</v>
      </c>
      <c r="I27" s="69">
        <v>13</v>
      </c>
      <c r="J27" s="69">
        <v>1</v>
      </c>
      <c r="K27" s="69">
        <v>7</v>
      </c>
      <c r="L27" s="69">
        <v>1</v>
      </c>
      <c r="M27" s="69">
        <v>1</v>
      </c>
      <c r="N27" s="69">
        <v>6</v>
      </c>
      <c r="O27" s="56">
        <f t="shared" si="4"/>
        <v>293</v>
      </c>
    </row>
    <row r="28" spans="1:15" ht="12.75">
      <c r="A28" s="35"/>
      <c r="B28" s="86" t="s">
        <v>195</v>
      </c>
      <c r="C28" s="69">
        <v>773</v>
      </c>
      <c r="D28" s="69" t="s">
        <v>132</v>
      </c>
      <c r="E28" s="69">
        <v>71</v>
      </c>
      <c r="F28" s="69">
        <v>50</v>
      </c>
      <c r="G28" s="69">
        <v>17</v>
      </c>
      <c r="H28" s="69">
        <v>4</v>
      </c>
      <c r="I28" s="69">
        <v>1</v>
      </c>
      <c r="J28" s="69">
        <v>0</v>
      </c>
      <c r="K28" s="69">
        <v>4</v>
      </c>
      <c r="L28" s="69">
        <v>0</v>
      </c>
      <c r="M28" s="69">
        <v>0</v>
      </c>
      <c r="N28" s="69">
        <v>0</v>
      </c>
      <c r="O28" s="56">
        <f t="shared" si="4"/>
        <v>147</v>
      </c>
    </row>
    <row r="29" spans="1:15" ht="12.75">
      <c r="A29" s="35"/>
      <c r="B29" s="36"/>
      <c r="C29" s="69">
        <v>875</v>
      </c>
      <c r="D29" s="69" t="s">
        <v>120</v>
      </c>
      <c r="E29" s="69">
        <v>80</v>
      </c>
      <c r="F29" s="69">
        <v>50</v>
      </c>
      <c r="G29" s="69">
        <v>24</v>
      </c>
      <c r="H29" s="69">
        <v>14</v>
      </c>
      <c r="I29" s="69">
        <v>1</v>
      </c>
      <c r="J29" s="69">
        <v>2</v>
      </c>
      <c r="K29" s="69">
        <v>0</v>
      </c>
      <c r="L29" s="69">
        <v>1</v>
      </c>
      <c r="M29" s="69">
        <v>0</v>
      </c>
      <c r="N29" s="69">
        <v>1</v>
      </c>
      <c r="O29" s="56">
        <f t="shared" si="4"/>
        <v>173</v>
      </c>
    </row>
    <row r="30" spans="1:15" ht="12.75">
      <c r="A30" s="35"/>
      <c r="B30" s="36"/>
      <c r="C30" s="69">
        <v>799</v>
      </c>
      <c r="D30" s="69" t="s">
        <v>132</v>
      </c>
      <c r="E30" s="69">
        <v>177</v>
      </c>
      <c r="F30" s="69">
        <v>92</v>
      </c>
      <c r="G30" s="69">
        <v>32</v>
      </c>
      <c r="H30" s="69">
        <v>20</v>
      </c>
      <c r="I30" s="69">
        <v>9</v>
      </c>
      <c r="J30" s="69">
        <v>3</v>
      </c>
      <c r="K30" s="69">
        <v>2</v>
      </c>
      <c r="L30" s="69">
        <v>2</v>
      </c>
      <c r="M30" s="69">
        <v>0</v>
      </c>
      <c r="N30" s="69">
        <v>4</v>
      </c>
      <c r="O30" s="56">
        <f t="shared" si="4"/>
        <v>341</v>
      </c>
    </row>
    <row r="31" spans="1:15" ht="12.75">
      <c r="A31" s="35"/>
      <c r="B31" s="77" t="s">
        <v>135</v>
      </c>
      <c r="C31" s="69"/>
      <c r="D31" s="69"/>
      <c r="E31" s="69">
        <f>SUM(E26:E30)</f>
        <v>618</v>
      </c>
      <c r="F31" s="69">
        <f aca="true" t="shared" si="5" ref="F31:N31">SUM(F26:F30)</f>
        <v>406</v>
      </c>
      <c r="G31" s="69">
        <f t="shared" si="5"/>
        <v>131</v>
      </c>
      <c r="H31" s="69">
        <f t="shared" si="5"/>
        <v>78</v>
      </c>
      <c r="I31" s="69">
        <f t="shared" si="5"/>
        <v>27</v>
      </c>
      <c r="J31" s="69">
        <f t="shared" si="5"/>
        <v>9</v>
      </c>
      <c r="K31" s="69">
        <f t="shared" si="5"/>
        <v>14</v>
      </c>
      <c r="L31" s="69">
        <f t="shared" si="5"/>
        <v>6</v>
      </c>
      <c r="M31" s="69">
        <f t="shared" si="5"/>
        <v>1</v>
      </c>
      <c r="N31" s="69">
        <f t="shared" si="5"/>
        <v>16</v>
      </c>
      <c r="O31" s="56">
        <f t="shared" si="4"/>
        <v>1306</v>
      </c>
    </row>
    <row r="32" spans="1:15" ht="15">
      <c r="A32" s="35">
        <v>26</v>
      </c>
      <c r="B32" s="36" t="s">
        <v>162</v>
      </c>
      <c r="C32" s="69">
        <v>987</v>
      </c>
      <c r="D32" s="69" t="s">
        <v>132</v>
      </c>
      <c r="E32" s="69">
        <v>24</v>
      </c>
      <c r="F32" s="69">
        <v>55</v>
      </c>
      <c r="G32" s="69">
        <v>83</v>
      </c>
      <c r="H32" s="69">
        <v>7</v>
      </c>
      <c r="I32" s="69">
        <v>8</v>
      </c>
      <c r="J32" s="69">
        <v>0</v>
      </c>
      <c r="K32" s="69">
        <v>2</v>
      </c>
      <c r="L32" s="69">
        <v>0</v>
      </c>
      <c r="M32" s="69">
        <v>0</v>
      </c>
      <c r="N32" s="69">
        <v>7</v>
      </c>
      <c r="O32" s="56">
        <f aca="true" t="shared" si="6" ref="O32:O42">SUM(E32:N32)</f>
        <v>186</v>
      </c>
    </row>
    <row r="33" spans="1:15" ht="12.75">
      <c r="A33" s="35"/>
      <c r="B33" s="36"/>
      <c r="C33" s="69">
        <v>995</v>
      </c>
      <c r="D33" s="69" t="s">
        <v>133</v>
      </c>
      <c r="E33" s="69">
        <v>28</v>
      </c>
      <c r="F33" s="69">
        <v>56</v>
      </c>
      <c r="G33" s="69">
        <v>102</v>
      </c>
      <c r="H33" s="69">
        <v>9</v>
      </c>
      <c r="I33" s="69">
        <v>1</v>
      </c>
      <c r="J33" s="69">
        <v>0</v>
      </c>
      <c r="K33" s="69">
        <v>2</v>
      </c>
      <c r="L33" s="69">
        <v>0</v>
      </c>
      <c r="M33" s="69">
        <v>0</v>
      </c>
      <c r="N33" s="69">
        <v>7</v>
      </c>
      <c r="O33" s="56">
        <f t="shared" si="6"/>
        <v>205</v>
      </c>
    </row>
    <row r="34" spans="1:15" ht="12.75">
      <c r="A34" s="35"/>
      <c r="B34" s="36"/>
      <c r="C34" s="69">
        <v>995</v>
      </c>
      <c r="D34" s="69" t="s">
        <v>160</v>
      </c>
      <c r="E34" s="69">
        <v>21</v>
      </c>
      <c r="F34" s="69">
        <v>63</v>
      </c>
      <c r="G34" s="69">
        <v>90</v>
      </c>
      <c r="H34" s="69">
        <v>12</v>
      </c>
      <c r="I34" s="69">
        <v>3</v>
      </c>
      <c r="J34" s="69">
        <v>0</v>
      </c>
      <c r="K34" s="69">
        <v>1</v>
      </c>
      <c r="L34" s="69">
        <v>2</v>
      </c>
      <c r="M34" s="69">
        <v>0</v>
      </c>
      <c r="N34" s="69">
        <v>0</v>
      </c>
      <c r="O34" s="56">
        <f t="shared" si="6"/>
        <v>192</v>
      </c>
    </row>
    <row r="35" spans="1:15" ht="12.75">
      <c r="A35" s="35"/>
      <c r="B35" s="36"/>
      <c r="C35" s="69">
        <v>995</v>
      </c>
      <c r="D35" s="69" t="s">
        <v>163</v>
      </c>
      <c r="E35" s="69">
        <v>26</v>
      </c>
      <c r="F35" s="69">
        <v>85</v>
      </c>
      <c r="G35" s="69">
        <v>102</v>
      </c>
      <c r="H35" s="69">
        <v>8</v>
      </c>
      <c r="I35" s="69">
        <v>0</v>
      </c>
      <c r="J35" s="69">
        <v>0</v>
      </c>
      <c r="K35" s="69">
        <v>2</v>
      </c>
      <c r="L35" s="69">
        <v>2</v>
      </c>
      <c r="M35" s="69">
        <v>0</v>
      </c>
      <c r="N35" s="69">
        <v>6</v>
      </c>
      <c r="O35" s="56">
        <f t="shared" si="6"/>
        <v>231</v>
      </c>
    </row>
    <row r="36" spans="1:15" ht="12.75">
      <c r="A36" s="35"/>
      <c r="B36" s="36"/>
      <c r="C36" s="69">
        <v>996</v>
      </c>
      <c r="D36" s="69" t="s">
        <v>134</v>
      </c>
      <c r="E36" s="69">
        <v>30</v>
      </c>
      <c r="F36" s="69">
        <v>82</v>
      </c>
      <c r="G36" s="69">
        <v>88</v>
      </c>
      <c r="H36" s="69">
        <v>7</v>
      </c>
      <c r="I36" s="69">
        <v>0</v>
      </c>
      <c r="J36" s="69">
        <v>0</v>
      </c>
      <c r="K36" s="69">
        <v>3</v>
      </c>
      <c r="L36" s="69">
        <v>1</v>
      </c>
      <c r="M36" s="69">
        <v>0</v>
      </c>
      <c r="N36" s="69">
        <v>5</v>
      </c>
      <c r="O36" s="56">
        <f t="shared" si="6"/>
        <v>216</v>
      </c>
    </row>
    <row r="37" spans="1:15" ht="12.75">
      <c r="A37" s="35"/>
      <c r="B37" s="36"/>
      <c r="C37" s="69">
        <v>1036</v>
      </c>
      <c r="D37" s="69" t="s">
        <v>132</v>
      </c>
      <c r="E37" s="69">
        <v>35</v>
      </c>
      <c r="F37" s="69">
        <v>68</v>
      </c>
      <c r="G37" s="69">
        <v>90</v>
      </c>
      <c r="H37" s="69">
        <v>9</v>
      </c>
      <c r="I37" s="69">
        <v>0</v>
      </c>
      <c r="J37" s="69">
        <v>0</v>
      </c>
      <c r="K37" s="69">
        <v>4</v>
      </c>
      <c r="L37" s="69">
        <v>0</v>
      </c>
      <c r="M37" s="69">
        <v>0</v>
      </c>
      <c r="N37" s="69">
        <v>7</v>
      </c>
      <c r="O37" s="56">
        <f t="shared" si="6"/>
        <v>213</v>
      </c>
    </row>
    <row r="38" spans="1:15" ht="12.75">
      <c r="A38" s="35"/>
      <c r="B38" s="36"/>
      <c r="C38" s="69">
        <v>1036</v>
      </c>
      <c r="D38" s="69" t="s">
        <v>134</v>
      </c>
      <c r="E38" s="69">
        <v>29</v>
      </c>
      <c r="F38" s="69">
        <v>62</v>
      </c>
      <c r="G38" s="69">
        <v>96</v>
      </c>
      <c r="H38" s="69">
        <v>6</v>
      </c>
      <c r="I38" s="69">
        <v>0</v>
      </c>
      <c r="J38" s="69">
        <v>0</v>
      </c>
      <c r="K38" s="69">
        <v>1</v>
      </c>
      <c r="L38" s="69">
        <v>2</v>
      </c>
      <c r="M38" s="69">
        <v>0</v>
      </c>
      <c r="N38" s="69">
        <v>12</v>
      </c>
      <c r="O38" s="56">
        <f t="shared" si="6"/>
        <v>208</v>
      </c>
    </row>
    <row r="39" spans="1:15" ht="12.75">
      <c r="A39" s="35"/>
      <c r="B39" s="36"/>
      <c r="C39" s="69">
        <v>1036</v>
      </c>
      <c r="D39" s="69" t="s">
        <v>133</v>
      </c>
      <c r="E39" s="69">
        <v>46</v>
      </c>
      <c r="F39" s="69">
        <v>62</v>
      </c>
      <c r="G39" s="69">
        <v>106</v>
      </c>
      <c r="H39" s="69">
        <v>9</v>
      </c>
      <c r="I39" s="69">
        <v>0</v>
      </c>
      <c r="J39" s="69">
        <v>0</v>
      </c>
      <c r="K39" s="69">
        <v>1</v>
      </c>
      <c r="L39" s="69">
        <v>0</v>
      </c>
      <c r="M39" s="69">
        <v>0</v>
      </c>
      <c r="N39" s="69">
        <v>8</v>
      </c>
      <c r="O39" s="56">
        <f t="shared" si="6"/>
        <v>232</v>
      </c>
    </row>
    <row r="40" spans="1:15" ht="12.75">
      <c r="A40" s="35"/>
      <c r="B40" s="36"/>
      <c r="C40" s="69">
        <v>1044</v>
      </c>
      <c r="D40" s="69" t="s">
        <v>120</v>
      </c>
      <c r="E40" s="69">
        <v>28</v>
      </c>
      <c r="F40" s="69">
        <v>81</v>
      </c>
      <c r="G40" s="69">
        <v>151</v>
      </c>
      <c r="H40" s="69">
        <v>7</v>
      </c>
      <c r="I40" s="69">
        <v>3</v>
      </c>
      <c r="J40" s="69">
        <v>0</v>
      </c>
      <c r="K40" s="69">
        <v>1</v>
      </c>
      <c r="L40" s="69">
        <v>0</v>
      </c>
      <c r="M40" s="69">
        <v>0</v>
      </c>
      <c r="N40" s="69">
        <v>5</v>
      </c>
      <c r="O40" s="56">
        <f t="shared" si="6"/>
        <v>276</v>
      </c>
    </row>
    <row r="41" spans="1:15" ht="12.75">
      <c r="A41" s="35"/>
      <c r="B41" s="36"/>
      <c r="C41" s="69">
        <v>1070</v>
      </c>
      <c r="D41" s="69" t="s">
        <v>132</v>
      </c>
      <c r="E41" s="69">
        <v>97</v>
      </c>
      <c r="F41" s="69">
        <v>77</v>
      </c>
      <c r="G41" s="69">
        <v>96</v>
      </c>
      <c r="H41" s="69">
        <v>2</v>
      </c>
      <c r="I41" s="69">
        <v>1</v>
      </c>
      <c r="J41" s="74">
        <v>0</v>
      </c>
      <c r="K41" s="74">
        <v>1</v>
      </c>
      <c r="L41" s="69">
        <v>0</v>
      </c>
      <c r="M41" s="69">
        <v>0</v>
      </c>
      <c r="N41" s="69">
        <v>10</v>
      </c>
      <c r="O41" s="56">
        <f t="shared" si="6"/>
        <v>284</v>
      </c>
    </row>
    <row r="42" spans="1:15" ht="12.75">
      <c r="A42" s="35"/>
      <c r="B42" s="77" t="s">
        <v>135</v>
      </c>
      <c r="C42" s="69"/>
      <c r="D42" s="69"/>
      <c r="E42" s="69">
        <f>SUM(E32:E41)</f>
        <v>364</v>
      </c>
      <c r="F42" s="69">
        <f aca="true" t="shared" si="7" ref="F42:N42">SUM(F32:F41)</f>
        <v>691</v>
      </c>
      <c r="G42" s="69">
        <f t="shared" si="7"/>
        <v>1004</v>
      </c>
      <c r="H42" s="69">
        <f t="shared" si="7"/>
        <v>76</v>
      </c>
      <c r="I42" s="69">
        <f t="shared" si="7"/>
        <v>16</v>
      </c>
      <c r="J42" s="74">
        <f t="shared" si="7"/>
        <v>0</v>
      </c>
      <c r="K42" s="74">
        <f t="shared" si="7"/>
        <v>18</v>
      </c>
      <c r="L42" s="69">
        <f t="shared" si="7"/>
        <v>7</v>
      </c>
      <c r="M42" s="69">
        <f t="shared" si="7"/>
        <v>0</v>
      </c>
      <c r="N42" s="69">
        <f t="shared" si="7"/>
        <v>67</v>
      </c>
      <c r="O42" s="56">
        <f t="shared" si="6"/>
        <v>2243</v>
      </c>
    </row>
    <row r="43" spans="1:15" ht="15">
      <c r="A43" s="35">
        <v>38</v>
      </c>
      <c r="B43" s="36" t="s">
        <v>174</v>
      </c>
      <c r="C43" s="69">
        <v>2019</v>
      </c>
      <c r="D43" s="69" t="s">
        <v>132</v>
      </c>
      <c r="E43" s="69">
        <v>93</v>
      </c>
      <c r="F43" s="69">
        <v>66</v>
      </c>
      <c r="G43" s="69">
        <v>81</v>
      </c>
      <c r="H43" s="69">
        <v>2</v>
      </c>
      <c r="I43" s="69">
        <v>5</v>
      </c>
      <c r="J43" s="69">
        <v>0</v>
      </c>
      <c r="K43" s="69">
        <v>2</v>
      </c>
      <c r="L43" s="69">
        <v>2</v>
      </c>
      <c r="M43" s="69">
        <v>0</v>
      </c>
      <c r="N43" s="69">
        <v>11</v>
      </c>
      <c r="O43" s="56">
        <f>SUM(E43:N43)</f>
        <v>262</v>
      </c>
    </row>
    <row r="44" spans="1:15" ht="12.75">
      <c r="A44" s="35"/>
      <c r="B44" s="36"/>
      <c r="C44" s="69">
        <v>2042</v>
      </c>
      <c r="D44" s="69" t="s">
        <v>120</v>
      </c>
      <c r="E44" s="69">
        <v>52</v>
      </c>
      <c r="F44" s="69">
        <v>48</v>
      </c>
      <c r="G44" s="69">
        <v>69</v>
      </c>
      <c r="H44" s="69">
        <v>4</v>
      </c>
      <c r="I44" s="69">
        <v>5</v>
      </c>
      <c r="J44" s="69">
        <v>0</v>
      </c>
      <c r="K44" s="69">
        <v>2</v>
      </c>
      <c r="L44" s="69">
        <v>1</v>
      </c>
      <c r="M44" s="69">
        <v>0</v>
      </c>
      <c r="N44" s="69">
        <v>9</v>
      </c>
      <c r="O44" s="56">
        <f>SUM(E44:N44)</f>
        <v>190</v>
      </c>
    </row>
    <row r="45" spans="1:15" ht="12.75">
      <c r="A45" s="35"/>
      <c r="B45" s="77" t="s">
        <v>135</v>
      </c>
      <c r="C45" s="69"/>
      <c r="D45" s="69"/>
      <c r="E45" s="69">
        <f>SUM(E43:E44)</f>
        <v>145</v>
      </c>
      <c r="F45" s="69">
        <f aca="true" t="shared" si="8" ref="F45:N45">SUM(F43:F44)</f>
        <v>114</v>
      </c>
      <c r="G45" s="69">
        <f t="shared" si="8"/>
        <v>150</v>
      </c>
      <c r="H45" s="69">
        <f t="shared" si="8"/>
        <v>6</v>
      </c>
      <c r="I45" s="69">
        <f t="shared" si="8"/>
        <v>10</v>
      </c>
      <c r="J45" s="69">
        <f t="shared" si="8"/>
        <v>0</v>
      </c>
      <c r="K45" s="69">
        <f t="shared" si="8"/>
        <v>4</v>
      </c>
      <c r="L45" s="69">
        <f t="shared" si="8"/>
        <v>3</v>
      </c>
      <c r="M45" s="69">
        <f t="shared" si="8"/>
        <v>0</v>
      </c>
      <c r="N45" s="69">
        <f t="shared" si="8"/>
        <v>20</v>
      </c>
      <c r="O45" s="56">
        <f>SUM(E45:N45)</f>
        <v>452</v>
      </c>
    </row>
    <row r="46" spans="1:15" ht="15">
      <c r="A46" s="35">
        <v>40</v>
      </c>
      <c r="B46" s="36" t="s">
        <v>177</v>
      </c>
      <c r="C46" s="69">
        <v>2081</v>
      </c>
      <c r="D46" s="69" t="s">
        <v>182</v>
      </c>
      <c r="E46" s="69">
        <v>16</v>
      </c>
      <c r="F46" s="69">
        <v>253</v>
      </c>
      <c r="G46" s="69">
        <v>49</v>
      </c>
      <c r="H46" s="69">
        <v>1</v>
      </c>
      <c r="I46" s="69">
        <v>0</v>
      </c>
      <c r="J46" s="69">
        <v>0</v>
      </c>
      <c r="K46" s="69">
        <v>1</v>
      </c>
      <c r="L46" s="69">
        <v>1</v>
      </c>
      <c r="M46" s="69">
        <v>0</v>
      </c>
      <c r="N46" s="69">
        <v>16</v>
      </c>
      <c r="O46" s="56">
        <f aca="true" t="shared" si="9" ref="O46:O57">SUM(E46:N46)</f>
        <v>337</v>
      </c>
    </row>
    <row r="47" spans="1:15" ht="12.75">
      <c r="A47" s="35"/>
      <c r="B47" s="36"/>
      <c r="C47" s="69">
        <v>2096</v>
      </c>
      <c r="D47" s="69" t="s">
        <v>183</v>
      </c>
      <c r="E47" s="69">
        <v>43</v>
      </c>
      <c r="F47" s="69">
        <v>81</v>
      </c>
      <c r="G47" s="69">
        <v>80</v>
      </c>
      <c r="H47" s="69">
        <v>2</v>
      </c>
      <c r="I47" s="69">
        <v>2</v>
      </c>
      <c r="J47" s="69">
        <v>0</v>
      </c>
      <c r="K47" s="69">
        <v>0</v>
      </c>
      <c r="L47" s="69">
        <v>2</v>
      </c>
      <c r="M47" s="69">
        <v>0</v>
      </c>
      <c r="N47" s="69">
        <v>4</v>
      </c>
      <c r="O47" s="56">
        <f t="shared" si="9"/>
        <v>214</v>
      </c>
    </row>
    <row r="48" spans="1:15" ht="12.75">
      <c r="A48" s="35"/>
      <c r="B48" s="36"/>
      <c r="C48" s="69">
        <v>2099</v>
      </c>
      <c r="D48" s="69" t="s">
        <v>134</v>
      </c>
      <c r="E48" s="69">
        <v>71</v>
      </c>
      <c r="F48" s="69">
        <v>54</v>
      </c>
      <c r="G48" s="69">
        <v>110</v>
      </c>
      <c r="H48" s="69">
        <v>5</v>
      </c>
      <c r="I48" s="69">
        <v>1</v>
      </c>
      <c r="J48" s="69">
        <v>1</v>
      </c>
      <c r="K48" s="69">
        <v>0</v>
      </c>
      <c r="L48" s="69">
        <v>0</v>
      </c>
      <c r="M48" s="69">
        <v>0</v>
      </c>
      <c r="N48" s="69">
        <v>4</v>
      </c>
      <c r="O48" s="56">
        <f t="shared" si="9"/>
        <v>246</v>
      </c>
    </row>
    <row r="49" spans="1:15" ht="12.75">
      <c r="A49" s="35"/>
      <c r="B49" s="36"/>
      <c r="C49" s="69">
        <v>2101</v>
      </c>
      <c r="D49" s="69" t="s">
        <v>132</v>
      </c>
      <c r="E49" s="69">
        <v>27</v>
      </c>
      <c r="F49" s="69">
        <v>58</v>
      </c>
      <c r="G49" s="69">
        <v>64</v>
      </c>
      <c r="H49" s="69">
        <v>2</v>
      </c>
      <c r="I49" s="69">
        <v>3</v>
      </c>
      <c r="J49" s="69">
        <v>0</v>
      </c>
      <c r="K49" s="69">
        <v>0</v>
      </c>
      <c r="L49" s="69">
        <v>3</v>
      </c>
      <c r="M49" s="69">
        <v>0</v>
      </c>
      <c r="N49" s="69">
        <v>11</v>
      </c>
      <c r="O49" s="56">
        <f t="shared" si="9"/>
        <v>168</v>
      </c>
    </row>
    <row r="50" spans="1:15" ht="12.75">
      <c r="A50" s="35"/>
      <c r="B50" s="36"/>
      <c r="C50" s="69">
        <v>2104</v>
      </c>
      <c r="D50" s="69" t="s">
        <v>120</v>
      </c>
      <c r="E50" s="69">
        <v>23</v>
      </c>
      <c r="F50" s="69">
        <v>42</v>
      </c>
      <c r="G50" s="69">
        <v>108</v>
      </c>
      <c r="H50" s="69">
        <v>3</v>
      </c>
      <c r="I50" s="69">
        <v>0</v>
      </c>
      <c r="J50" s="69">
        <v>3</v>
      </c>
      <c r="K50" s="69">
        <v>0</v>
      </c>
      <c r="L50" s="69">
        <v>5</v>
      </c>
      <c r="M50" s="69">
        <v>0</v>
      </c>
      <c r="N50" s="69">
        <v>2</v>
      </c>
      <c r="O50" s="56">
        <f t="shared" si="9"/>
        <v>186</v>
      </c>
    </row>
    <row r="51" spans="1:15" ht="12.75">
      <c r="A51" s="35"/>
      <c r="B51" s="36"/>
      <c r="C51" s="69">
        <v>2109</v>
      </c>
      <c r="D51" s="69" t="s">
        <v>120</v>
      </c>
      <c r="E51" s="69">
        <v>41</v>
      </c>
      <c r="F51" s="69">
        <v>64</v>
      </c>
      <c r="G51" s="69">
        <v>116</v>
      </c>
      <c r="H51" s="69">
        <v>7</v>
      </c>
      <c r="I51" s="69">
        <v>3</v>
      </c>
      <c r="J51" s="69">
        <v>0</v>
      </c>
      <c r="K51" s="69">
        <v>0</v>
      </c>
      <c r="L51" s="69">
        <v>6</v>
      </c>
      <c r="M51" s="69">
        <v>0</v>
      </c>
      <c r="N51" s="69">
        <v>34</v>
      </c>
      <c r="O51" s="56">
        <f t="shared" si="9"/>
        <v>271</v>
      </c>
    </row>
    <row r="52" spans="1:15" ht="12.75">
      <c r="A52" s="35"/>
      <c r="B52" s="36"/>
      <c r="C52" s="69">
        <v>2123</v>
      </c>
      <c r="D52" s="69" t="s">
        <v>132</v>
      </c>
      <c r="E52" s="69">
        <v>30</v>
      </c>
      <c r="F52" s="69">
        <v>90</v>
      </c>
      <c r="G52" s="69">
        <v>111</v>
      </c>
      <c r="H52" s="69">
        <v>3</v>
      </c>
      <c r="I52" s="69">
        <v>4</v>
      </c>
      <c r="J52" s="69">
        <v>0</v>
      </c>
      <c r="K52" s="69">
        <v>1</v>
      </c>
      <c r="L52" s="69">
        <v>10</v>
      </c>
      <c r="M52" s="69">
        <v>0</v>
      </c>
      <c r="N52" s="69">
        <v>10</v>
      </c>
      <c r="O52" s="56">
        <f t="shared" si="9"/>
        <v>259</v>
      </c>
    </row>
    <row r="53" spans="1:15" ht="12.75">
      <c r="A53" s="35"/>
      <c r="B53" s="36"/>
      <c r="C53" s="69">
        <v>2126</v>
      </c>
      <c r="D53" s="69" t="s">
        <v>132</v>
      </c>
      <c r="E53" s="69">
        <v>40</v>
      </c>
      <c r="F53" s="69">
        <v>51</v>
      </c>
      <c r="G53" s="69">
        <v>119</v>
      </c>
      <c r="H53" s="69">
        <v>1</v>
      </c>
      <c r="I53" s="69">
        <v>0</v>
      </c>
      <c r="J53" s="69">
        <v>2</v>
      </c>
      <c r="K53" s="69">
        <v>1</v>
      </c>
      <c r="L53" s="69">
        <v>0</v>
      </c>
      <c r="M53" s="69">
        <v>2</v>
      </c>
      <c r="N53" s="69">
        <v>8</v>
      </c>
      <c r="O53" s="56">
        <f t="shared" si="9"/>
        <v>224</v>
      </c>
    </row>
    <row r="54" spans="1:15" ht="12.75">
      <c r="A54" s="35"/>
      <c r="B54" s="36"/>
      <c r="C54" s="69">
        <v>2135</v>
      </c>
      <c r="D54" s="69" t="s">
        <v>132</v>
      </c>
      <c r="E54" s="69">
        <v>33</v>
      </c>
      <c r="F54" s="69">
        <v>140</v>
      </c>
      <c r="G54" s="69">
        <v>128</v>
      </c>
      <c r="H54" s="69">
        <v>5</v>
      </c>
      <c r="I54" s="69">
        <v>1</v>
      </c>
      <c r="J54" s="69">
        <v>11</v>
      </c>
      <c r="K54" s="69">
        <v>1</v>
      </c>
      <c r="L54" s="69">
        <v>0</v>
      </c>
      <c r="M54" s="69">
        <v>0</v>
      </c>
      <c r="N54" s="69">
        <v>11</v>
      </c>
      <c r="O54" s="56">
        <f t="shared" si="9"/>
        <v>330</v>
      </c>
    </row>
    <row r="55" spans="1:15" ht="12.75">
      <c r="A55" s="35"/>
      <c r="B55" s="36"/>
      <c r="C55" s="69">
        <v>2151</v>
      </c>
      <c r="D55" s="69" t="s">
        <v>132</v>
      </c>
      <c r="E55" s="69">
        <v>37</v>
      </c>
      <c r="F55" s="69">
        <v>241</v>
      </c>
      <c r="G55" s="69">
        <v>72</v>
      </c>
      <c r="H55" s="69">
        <v>3</v>
      </c>
      <c r="I55" s="69">
        <v>6</v>
      </c>
      <c r="J55" s="69">
        <v>0</v>
      </c>
      <c r="K55" s="69">
        <v>0</v>
      </c>
      <c r="L55" s="69">
        <v>1</v>
      </c>
      <c r="M55" s="69">
        <v>0</v>
      </c>
      <c r="N55" s="69">
        <v>6</v>
      </c>
      <c r="O55" s="56">
        <f t="shared" si="9"/>
        <v>366</v>
      </c>
    </row>
    <row r="56" spans="1:15" ht="12.75">
      <c r="A56" s="35"/>
      <c r="B56" s="36"/>
      <c r="C56" s="69">
        <v>2163</v>
      </c>
      <c r="D56" s="69" t="s">
        <v>120</v>
      </c>
      <c r="E56" s="69">
        <v>9</v>
      </c>
      <c r="F56" s="69">
        <v>254</v>
      </c>
      <c r="G56" s="69">
        <v>9</v>
      </c>
      <c r="H56" s="69">
        <v>3</v>
      </c>
      <c r="I56" s="69">
        <v>0</v>
      </c>
      <c r="J56" s="69">
        <v>0</v>
      </c>
      <c r="K56" s="69">
        <v>0</v>
      </c>
      <c r="L56" s="69">
        <v>1</v>
      </c>
      <c r="M56" s="69">
        <v>0</v>
      </c>
      <c r="N56" s="69">
        <v>4</v>
      </c>
      <c r="O56" s="56">
        <f t="shared" si="9"/>
        <v>280</v>
      </c>
    </row>
    <row r="57" spans="1:15" ht="12.75">
      <c r="A57" s="35"/>
      <c r="B57" s="77" t="s">
        <v>135</v>
      </c>
      <c r="C57" s="69"/>
      <c r="D57" s="69"/>
      <c r="E57" s="69">
        <f>SUM(E46:E56)</f>
        <v>370</v>
      </c>
      <c r="F57" s="69">
        <f aca="true" t="shared" si="10" ref="F57:N57">SUM(F46:F56)</f>
        <v>1328</v>
      </c>
      <c r="G57" s="69">
        <f t="shared" si="10"/>
        <v>966</v>
      </c>
      <c r="H57" s="69">
        <f t="shared" si="10"/>
        <v>35</v>
      </c>
      <c r="I57" s="69">
        <f t="shared" si="10"/>
        <v>20</v>
      </c>
      <c r="J57" s="69">
        <f t="shared" si="10"/>
        <v>17</v>
      </c>
      <c r="K57" s="69">
        <f t="shared" si="10"/>
        <v>4</v>
      </c>
      <c r="L57" s="69">
        <f t="shared" si="10"/>
        <v>29</v>
      </c>
      <c r="M57" s="69">
        <f t="shared" si="10"/>
        <v>2</v>
      </c>
      <c r="N57" s="69">
        <f t="shared" si="10"/>
        <v>110</v>
      </c>
      <c r="O57" s="56">
        <f t="shared" si="9"/>
        <v>2881</v>
      </c>
    </row>
    <row r="58" spans="1:15" ht="15">
      <c r="A58" s="35">
        <v>41</v>
      </c>
      <c r="B58" s="36" t="s">
        <v>142</v>
      </c>
      <c r="C58" s="69">
        <v>2167</v>
      </c>
      <c r="D58" s="69" t="s">
        <v>120</v>
      </c>
      <c r="E58" s="69">
        <v>152</v>
      </c>
      <c r="F58" s="69">
        <v>148</v>
      </c>
      <c r="G58" s="69">
        <v>9</v>
      </c>
      <c r="H58" s="69">
        <v>2</v>
      </c>
      <c r="I58" s="69">
        <v>0</v>
      </c>
      <c r="J58" s="69">
        <v>1</v>
      </c>
      <c r="K58" s="69">
        <v>2</v>
      </c>
      <c r="L58" s="69">
        <v>0</v>
      </c>
      <c r="M58" s="69">
        <v>0</v>
      </c>
      <c r="N58" s="69">
        <v>9</v>
      </c>
      <c r="O58" s="56">
        <f aca="true" t="shared" si="11" ref="O58:O70">SUM(E58:N58)</f>
        <v>323</v>
      </c>
    </row>
    <row r="59" spans="1:15" ht="12.75">
      <c r="A59" s="35"/>
      <c r="B59" s="36"/>
      <c r="C59" s="69">
        <v>2169</v>
      </c>
      <c r="D59" s="69" t="s">
        <v>120</v>
      </c>
      <c r="E59" s="69">
        <v>131</v>
      </c>
      <c r="F59" s="69">
        <v>150</v>
      </c>
      <c r="G59" s="69">
        <v>13</v>
      </c>
      <c r="H59" s="69">
        <v>0</v>
      </c>
      <c r="I59" s="69">
        <v>0</v>
      </c>
      <c r="J59" s="69">
        <v>0</v>
      </c>
      <c r="K59" s="69">
        <v>3</v>
      </c>
      <c r="L59" s="69">
        <v>0</v>
      </c>
      <c r="M59" s="69">
        <v>0</v>
      </c>
      <c r="N59" s="69">
        <v>7</v>
      </c>
      <c r="O59" s="56">
        <f t="shared" si="11"/>
        <v>304</v>
      </c>
    </row>
    <row r="60" spans="1:15" ht="12.75">
      <c r="A60" s="35"/>
      <c r="B60" s="77" t="s">
        <v>135</v>
      </c>
      <c r="C60" s="69"/>
      <c r="D60" s="69"/>
      <c r="E60" s="69">
        <f aca="true" t="shared" si="12" ref="E60:N60">SUM(E58:E59)</f>
        <v>283</v>
      </c>
      <c r="F60" s="69">
        <f t="shared" si="12"/>
        <v>298</v>
      </c>
      <c r="G60" s="69">
        <f t="shared" si="12"/>
        <v>22</v>
      </c>
      <c r="H60" s="69">
        <f t="shared" si="12"/>
        <v>2</v>
      </c>
      <c r="I60" s="69">
        <f t="shared" si="12"/>
        <v>0</v>
      </c>
      <c r="J60" s="69">
        <f t="shared" si="12"/>
        <v>1</v>
      </c>
      <c r="K60" s="69">
        <f t="shared" si="12"/>
        <v>5</v>
      </c>
      <c r="L60" s="69">
        <f t="shared" si="12"/>
        <v>0</v>
      </c>
      <c r="M60" s="69">
        <f t="shared" si="12"/>
        <v>0</v>
      </c>
      <c r="N60" s="69">
        <f t="shared" si="12"/>
        <v>16</v>
      </c>
      <c r="O60" s="56">
        <f t="shared" si="11"/>
        <v>627</v>
      </c>
    </row>
    <row r="61" spans="1:15" ht="15">
      <c r="A61" s="35">
        <v>43</v>
      </c>
      <c r="B61" s="36" t="s">
        <v>187</v>
      </c>
      <c r="C61" s="69">
        <v>2206</v>
      </c>
      <c r="D61" s="69" t="s">
        <v>132</v>
      </c>
      <c r="E61" s="69">
        <v>21</v>
      </c>
      <c r="F61" s="74">
        <v>151</v>
      </c>
      <c r="G61" s="69">
        <v>4</v>
      </c>
      <c r="H61" s="69">
        <v>4</v>
      </c>
      <c r="I61" s="74">
        <v>227</v>
      </c>
      <c r="J61" s="69">
        <v>6</v>
      </c>
      <c r="K61" s="69">
        <v>2</v>
      </c>
      <c r="L61" s="69">
        <v>0</v>
      </c>
      <c r="M61" s="74">
        <v>0</v>
      </c>
      <c r="N61" s="74">
        <v>21</v>
      </c>
      <c r="O61" s="79">
        <f t="shared" si="11"/>
        <v>436</v>
      </c>
    </row>
    <row r="62" spans="1:15" ht="12.75">
      <c r="A62" s="35"/>
      <c r="B62" s="86" t="s">
        <v>196</v>
      </c>
      <c r="C62" s="69">
        <v>2209</v>
      </c>
      <c r="D62" s="69" t="s">
        <v>120</v>
      </c>
      <c r="E62" s="74">
        <v>32</v>
      </c>
      <c r="F62" s="74">
        <v>133</v>
      </c>
      <c r="G62" s="74">
        <v>6</v>
      </c>
      <c r="H62" s="74">
        <v>6</v>
      </c>
      <c r="I62" s="74">
        <v>205</v>
      </c>
      <c r="J62" s="74">
        <v>1</v>
      </c>
      <c r="K62" s="74">
        <v>0</v>
      </c>
      <c r="L62" s="74">
        <v>0</v>
      </c>
      <c r="M62" s="74">
        <v>0</v>
      </c>
      <c r="N62" s="74">
        <v>26</v>
      </c>
      <c r="O62" s="79">
        <f t="shared" si="11"/>
        <v>409</v>
      </c>
    </row>
    <row r="63" spans="1:15" ht="12.75">
      <c r="A63" s="35"/>
      <c r="B63" s="36"/>
      <c r="C63" s="69">
        <v>2211</v>
      </c>
      <c r="D63" s="69" t="s">
        <v>132</v>
      </c>
      <c r="E63" s="69">
        <v>42</v>
      </c>
      <c r="F63" s="69">
        <v>119</v>
      </c>
      <c r="G63" s="69">
        <v>10</v>
      </c>
      <c r="H63" s="69">
        <v>4</v>
      </c>
      <c r="I63" s="69">
        <v>124</v>
      </c>
      <c r="J63" s="69">
        <v>2</v>
      </c>
      <c r="K63" s="69">
        <v>2</v>
      </c>
      <c r="L63" s="69">
        <v>0</v>
      </c>
      <c r="M63" s="69">
        <v>0</v>
      </c>
      <c r="N63" s="69">
        <v>46</v>
      </c>
      <c r="O63" s="56">
        <f t="shared" si="11"/>
        <v>349</v>
      </c>
    </row>
    <row r="64" spans="1:15" ht="12.75">
      <c r="A64" s="35"/>
      <c r="B64" s="36"/>
      <c r="C64" s="69">
        <v>2216</v>
      </c>
      <c r="D64" s="69" t="s">
        <v>120</v>
      </c>
      <c r="E64" s="69">
        <v>27</v>
      </c>
      <c r="F64" s="69">
        <v>46</v>
      </c>
      <c r="G64" s="69">
        <v>6</v>
      </c>
      <c r="H64" s="69">
        <v>2</v>
      </c>
      <c r="I64" s="69">
        <v>121</v>
      </c>
      <c r="J64" s="69">
        <v>0</v>
      </c>
      <c r="K64" s="69">
        <v>1</v>
      </c>
      <c r="L64" s="69">
        <v>0</v>
      </c>
      <c r="M64" s="69">
        <v>0</v>
      </c>
      <c r="N64" s="69">
        <v>5</v>
      </c>
      <c r="O64" s="56">
        <f t="shared" si="11"/>
        <v>208</v>
      </c>
    </row>
    <row r="65" spans="1:15" ht="12.75">
      <c r="A65" s="35"/>
      <c r="B65" s="77" t="s">
        <v>135</v>
      </c>
      <c r="C65" s="69"/>
      <c r="D65" s="69"/>
      <c r="E65" s="69">
        <f>SUM(E61:E64)</f>
        <v>122</v>
      </c>
      <c r="F65" s="69">
        <f aca="true" t="shared" si="13" ref="F65:N65">SUM(F61:F64)</f>
        <v>449</v>
      </c>
      <c r="G65" s="69">
        <f t="shared" si="13"/>
        <v>26</v>
      </c>
      <c r="H65" s="69">
        <f t="shared" si="13"/>
        <v>16</v>
      </c>
      <c r="I65" s="69">
        <f t="shared" si="13"/>
        <v>677</v>
      </c>
      <c r="J65" s="69">
        <f t="shared" si="13"/>
        <v>9</v>
      </c>
      <c r="K65" s="69">
        <f t="shared" si="13"/>
        <v>5</v>
      </c>
      <c r="L65" s="69">
        <f t="shared" si="13"/>
        <v>0</v>
      </c>
      <c r="M65" s="69">
        <f t="shared" si="13"/>
        <v>0</v>
      </c>
      <c r="N65" s="69">
        <f t="shared" si="13"/>
        <v>98</v>
      </c>
      <c r="O65" s="56">
        <f t="shared" si="11"/>
        <v>1402</v>
      </c>
    </row>
    <row r="66" spans="1:15" ht="15">
      <c r="A66" s="35">
        <v>46</v>
      </c>
      <c r="B66" s="36" t="s">
        <v>130</v>
      </c>
      <c r="C66" s="69">
        <v>2274</v>
      </c>
      <c r="D66" s="69" t="s">
        <v>132</v>
      </c>
      <c r="E66" s="74">
        <v>154</v>
      </c>
      <c r="F66" s="74">
        <v>188</v>
      </c>
      <c r="G66" s="74">
        <v>0</v>
      </c>
      <c r="H66" s="74">
        <v>0</v>
      </c>
      <c r="I66" s="69">
        <v>0</v>
      </c>
      <c r="J66" s="69">
        <v>0</v>
      </c>
      <c r="K66" s="69">
        <v>0</v>
      </c>
      <c r="L66" s="69">
        <v>0</v>
      </c>
      <c r="M66" s="69">
        <v>0</v>
      </c>
      <c r="N66" s="74">
        <v>14</v>
      </c>
      <c r="O66" s="75">
        <f t="shared" si="11"/>
        <v>356</v>
      </c>
    </row>
    <row r="67" spans="1:15" ht="15">
      <c r="A67" s="35">
        <v>51</v>
      </c>
      <c r="B67" s="36" t="s">
        <v>188</v>
      </c>
      <c r="C67" s="69">
        <v>2382</v>
      </c>
      <c r="D67" s="69" t="s">
        <v>120</v>
      </c>
      <c r="E67" s="69">
        <v>57</v>
      </c>
      <c r="F67" s="69">
        <v>68</v>
      </c>
      <c r="G67" s="69">
        <v>43</v>
      </c>
      <c r="H67" s="69">
        <v>135</v>
      </c>
      <c r="I67" s="69">
        <v>4</v>
      </c>
      <c r="J67" s="69">
        <v>2</v>
      </c>
      <c r="K67" s="69">
        <v>56</v>
      </c>
      <c r="L67" s="69">
        <v>28</v>
      </c>
      <c r="M67" s="69">
        <v>0</v>
      </c>
      <c r="N67" s="69">
        <v>8</v>
      </c>
      <c r="O67" s="56">
        <f t="shared" si="11"/>
        <v>401</v>
      </c>
    </row>
    <row r="68" spans="1:15" ht="15">
      <c r="A68" s="35">
        <v>55</v>
      </c>
      <c r="B68" s="36" t="s">
        <v>165</v>
      </c>
      <c r="C68" s="69">
        <v>2472</v>
      </c>
      <c r="D68" s="69" t="s">
        <v>132</v>
      </c>
      <c r="E68" s="69">
        <v>87</v>
      </c>
      <c r="F68" s="69">
        <v>115</v>
      </c>
      <c r="G68" s="69">
        <v>18</v>
      </c>
      <c r="H68" s="69">
        <v>66</v>
      </c>
      <c r="I68" s="69">
        <v>4</v>
      </c>
      <c r="J68" s="69">
        <v>5</v>
      </c>
      <c r="K68" s="69">
        <v>2</v>
      </c>
      <c r="L68" s="69">
        <v>1</v>
      </c>
      <c r="M68" s="69">
        <v>0</v>
      </c>
      <c r="N68" s="69">
        <v>12</v>
      </c>
      <c r="O68" s="56">
        <f t="shared" si="11"/>
        <v>310</v>
      </c>
    </row>
    <row r="69" spans="1:15" ht="12.75">
      <c r="A69" s="35"/>
      <c r="B69" s="36"/>
      <c r="C69" s="69">
        <v>2509</v>
      </c>
      <c r="D69" s="69" t="s">
        <v>120</v>
      </c>
      <c r="E69" s="74">
        <v>72</v>
      </c>
      <c r="F69" s="69">
        <v>60</v>
      </c>
      <c r="G69" s="69">
        <v>8</v>
      </c>
      <c r="H69" s="69">
        <v>91</v>
      </c>
      <c r="I69" s="69">
        <v>4</v>
      </c>
      <c r="J69" s="69">
        <v>34</v>
      </c>
      <c r="K69" s="69">
        <v>2</v>
      </c>
      <c r="L69" s="69">
        <v>0</v>
      </c>
      <c r="M69" s="69">
        <v>0</v>
      </c>
      <c r="N69" s="69">
        <v>4</v>
      </c>
      <c r="O69" s="56">
        <f t="shared" si="11"/>
        <v>275</v>
      </c>
    </row>
    <row r="70" spans="1:15" ht="12.75">
      <c r="A70" s="35"/>
      <c r="B70" s="77" t="s">
        <v>135</v>
      </c>
      <c r="C70" s="69"/>
      <c r="D70" s="69"/>
      <c r="E70" s="74">
        <f>SUM(E68:E69)</f>
        <v>159</v>
      </c>
      <c r="F70" s="69">
        <f aca="true" t="shared" si="14" ref="F70:N70">SUM(F68:F69)</f>
        <v>175</v>
      </c>
      <c r="G70" s="69">
        <f t="shared" si="14"/>
        <v>26</v>
      </c>
      <c r="H70" s="69">
        <f t="shared" si="14"/>
        <v>157</v>
      </c>
      <c r="I70" s="69">
        <f t="shared" si="14"/>
        <v>8</v>
      </c>
      <c r="J70" s="69">
        <f t="shared" si="14"/>
        <v>39</v>
      </c>
      <c r="K70" s="69">
        <f t="shared" si="14"/>
        <v>4</v>
      </c>
      <c r="L70" s="69">
        <f t="shared" si="14"/>
        <v>1</v>
      </c>
      <c r="M70" s="69">
        <f t="shared" si="14"/>
        <v>0</v>
      </c>
      <c r="N70" s="69">
        <f t="shared" si="14"/>
        <v>16</v>
      </c>
      <c r="O70" s="56">
        <f t="shared" si="11"/>
        <v>585</v>
      </c>
    </row>
    <row r="71" spans="1:15" ht="15">
      <c r="A71" s="35">
        <v>58</v>
      </c>
      <c r="B71" s="36" t="s">
        <v>179</v>
      </c>
      <c r="C71" s="69">
        <v>2589</v>
      </c>
      <c r="D71" s="69" t="s">
        <v>120</v>
      </c>
      <c r="E71" s="69">
        <v>109</v>
      </c>
      <c r="F71" s="69">
        <v>80</v>
      </c>
      <c r="G71" s="69">
        <v>36</v>
      </c>
      <c r="H71" s="69">
        <v>0</v>
      </c>
      <c r="I71" s="69">
        <v>1</v>
      </c>
      <c r="J71" s="69">
        <v>1</v>
      </c>
      <c r="K71" s="69">
        <v>2</v>
      </c>
      <c r="L71" s="69">
        <v>9</v>
      </c>
      <c r="M71" s="69">
        <v>0</v>
      </c>
      <c r="N71" s="69">
        <v>4</v>
      </c>
      <c r="O71" s="56">
        <f aca="true" t="shared" si="15" ref="O71:O80">SUM(E71:N71)</f>
        <v>242</v>
      </c>
    </row>
    <row r="72" spans="1:15" ht="12.75">
      <c r="A72" s="35"/>
      <c r="B72" s="36"/>
      <c r="C72" s="69">
        <v>2610</v>
      </c>
      <c r="D72" s="69" t="s">
        <v>132</v>
      </c>
      <c r="E72" s="69">
        <v>110</v>
      </c>
      <c r="F72" s="69">
        <v>78</v>
      </c>
      <c r="G72" s="69">
        <v>51</v>
      </c>
      <c r="H72" s="69">
        <v>1</v>
      </c>
      <c r="I72" s="69">
        <v>1</v>
      </c>
      <c r="J72" s="69">
        <v>0</v>
      </c>
      <c r="K72" s="69">
        <v>1</v>
      </c>
      <c r="L72" s="69">
        <v>4</v>
      </c>
      <c r="M72" s="69">
        <v>0</v>
      </c>
      <c r="N72" s="69">
        <v>4</v>
      </c>
      <c r="O72" s="56">
        <f t="shared" si="15"/>
        <v>250</v>
      </c>
    </row>
    <row r="73" spans="1:15" ht="12.75">
      <c r="A73" s="35"/>
      <c r="B73" s="36"/>
      <c r="C73" s="69">
        <v>2610</v>
      </c>
      <c r="D73" s="69" t="s">
        <v>120</v>
      </c>
      <c r="E73" s="69">
        <v>97</v>
      </c>
      <c r="F73" s="69">
        <v>72</v>
      </c>
      <c r="G73" s="69">
        <v>40</v>
      </c>
      <c r="H73" s="69">
        <v>3</v>
      </c>
      <c r="I73" s="69">
        <v>3</v>
      </c>
      <c r="J73" s="69">
        <v>2</v>
      </c>
      <c r="K73" s="69">
        <v>6</v>
      </c>
      <c r="L73" s="69">
        <v>7</v>
      </c>
      <c r="M73" s="69">
        <v>0</v>
      </c>
      <c r="N73" s="69">
        <v>5</v>
      </c>
      <c r="O73" s="56">
        <f t="shared" si="15"/>
        <v>235</v>
      </c>
    </row>
    <row r="74" spans="1:15" ht="12.75">
      <c r="A74" s="35"/>
      <c r="B74" s="36"/>
      <c r="C74" s="69">
        <v>2613</v>
      </c>
      <c r="D74" s="69" t="s">
        <v>120</v>
      </c>
      <c r="E74" s="69">
        <v>101</v>
      </c>
      <c r="F74" s="69">
        <v>68</v>
      </c>
      <c r="G74" s="69">
        <v>58</v>
      </c>
      <c r="H74" s="69">
        <v>0</v>
      </c>
      <c r="I74" s="69">
        <v>0</v>
      </c>
      <c r="J74" s="69">
        <v>1</v>
      </c>
      <c r="K74" s="69">
        <v>3</v>
      </c>
      <c r="L74" s="69">
        <v>4</v>
      </c>
      <c r="M74" s="69">
        <v>0</v>
      </c>
      <c r="N74" s="69">
        <v>8</v>
      </c>
      <c r="O74" s="56">
        <f t="shared" si="15"/>
        <v>243</v>
      </c>
    </row>
    <row r="75" spans="1:15" ht="12.75">
      <c r="A75" s="35"/>
      <c r="B75" s="36"/>
      <c r="C75" s="69">
        <v>2614</v>
      </c>
      <c r="D75" s="69" t="s">
        <v>120</v>
      </c>
      <c r="E75" s="74">
        <v>46</v>
      </c>
      <c r="F75" s="69">
        <v>31</v>
      </c>
      <c r="G75" s="69">
        <v>27</v>
      </c>
      <c r="H75" s="74">
        <v>0</v>
      </c>
      <c r="I75" s="69">
        <v>0</v>
      </c>
      <c r="J75" s="69">
        <v>0</v>
      </c>
      <c r="K75" s="69">
        <v>3</v>
      </c>
      <c r="L75" s="69">
        <v>3</v>
      </c>
      <c r="M75" s="69">
        <v>0</v>
      </c>
      <c r="N75" s="69">
        <v>2</v>
      </c>
      <c r="O75" s="56">
        <f t="shared" si="15"/>
        <v>112</v>
      </c>
    </row>
    <row r="76" spans="1:15" ht="12.75">
      <c r="A76" s="35"/>
      <c r="B76" s="36"/>
      <c r="C76" s="69">
        <v>2622</v>
      </c>
      <c r="D76" s="69" t="s">
        <v>132</v>
      </c>
      <c r="E76" s="69">
        <v>77</v>
      </c>
      <c r="F76" s="69">
        <v>63</v>
      </c>
      <c r="G76" s="69">
        <v>36</v>
      </c>
      <c r="H76" s="69">
        <v>2</v>
      </c>
      <c r="I76" s="69">
        <v>5</v>
      </c>
      <c r="J76" s="69">
        <v>0</v>
      </c>
      <c r="K76" s="69">
        <v>1</v>
      </c>
      <c r="L76" s="69">
        <v>12</v>
      </c>
      <c r="M76" s="69">
        <v>0</v>
      </c>
      <c r="N76" s="69">
        <v>0</v>
      </c>
      <c r="O76" s="56">
        <f t="shared" si="15"/>
        <v>196</v>
      </c>
    </row>
    <row r="77" spans="1:15" ht="12.75">
      <c r="A77" s="35"/>
      <c r="B77" s="36"/>
      <c r="C77" s="69">
        <v>2624</v>
      </c>
      <c r="D77" s="69" t="s">
        <v>132</v>
      </c>
      <c r="E77" s="69">
        <v>65</v>
      </c>
      <c r="F77" s="69">
        <v>45</v>
      </c>
      <c r="G77" s="69">
        <v>30</v>
      </c>
      <c r="H77" s="69">
        <v>3</v>
      </c>
      <c r="I77" s="69">
        <v>0</v>
      </c>
      <c r="J77" s="69">
        <v>1</v>
      </c>
      <c r="K77" s="69">
        <v>1</v>
      </c>
      <c r="L77" s="69">
        <v>5</v>
      </c>
      <c r="M77" s="69">
        <v>0</v>
      </c>
      <c r="N77" s="69">
        <v>4</v>
      </c>
      <c r="O77" s="56">
        <f t="shared" si="15"/>
        <v>154</v>
      </c>
    </row>
    <row r="78" spans="1:15" ht="12.75">
      <c r="A78" s="35"/>
      <c r="B78" s="36"/>
      <c r="C78" s="69">
        <v>2626</v>
      </c>
      <c r="D78" s="69" t="s">
        <v>120</v>
      </c>
      <c r="E78" s="69">
        <v>117</v>
      </c>
      <c r="F78" s="69">
        <v>73</v>
      </c>
      <c r="G78" s="69">
        <v>35</v>
      </c>
      <c r="H78" s="69">
        <v>1</v>
      </c>
      <c r="I78" s="69">
        <v>1</v>
      </c>
      <c r="J78" s="69">
        <v>0</v>
      </c>
      <c r="K78" s="69">
        <v>2</v>
      </c>
      <c r="L78" s="69">
        <v>2</v>
      </c>
      <c r="M78" s="69">
        <v>0</v>
      </c>
      <c r="N78" s="69">
        <v>6</v>
      </c>
      <c r="O78" s="56">
        <f t="shared" si="15"/>
        <v>237</v>
      </c>
    </row>
    <row r="79" spans="1:15" ht="12.75">
      <c r="A79" s="35"/>
      <c r="B79" s="36"/>
      <c r="C79" s="69">
        <v>2641</v>
      </c>
      <c r="D79" s="69" t="s">
        <v>132</v>
      </c>
      <c r="E79" s="69">
        <v>56</v>
      </c>
      <c r="F79" s="74">
        <v>45</v>
      </c>
      <c r="G79" s="69">
        <v>23</v>
      </c>
      <c r="H79" s="69">
        <v>4</v>
      </c>
      <c r="I79" s="69">
        <v>1</v>
      </c>
      <c r="J79" s="69">
        <v>2</v>
      </c>
      <c r="K79" s="69">
        <v>1</v>
      </c>
      <c r="L79" s="69">
        <v>0</v>
      </c>
      <c r="M79" s="69">
        <v>0</v>
      </c>
      <c r="N79" s="69">
        <v>3</v>
      </c>
      <c r="O79" s="56">
        <f t="shared" si="15"/>
        <v>135</v>
      </c>
    </row>
    <row r="80" spans="1:15" ht="12.75">
      <c r="A80" s="35"/>
      <c r="B80" s="77" t="s">
        <v>135</v>
      </c>
      <c r="C80" s="69"/>
      <c r="D80" s="69"/>
      <c r="E80" s="69">
        <f>SUM(E71:E79)</f>
        <v>778</v>
      </c>
      <c r="F80" s="69">
        <f aca="true" t="shared" si="16" ref="F80:N80">SUM(F71:F79)</f>
        <v>555</v>
      </c>
      <c r="G80" s="69">
        <f t="shared" si="16"/>
        <v>336</v>
      </c>
      <c r="H80" s="69">
        <f t="shared" si="16"/>
        <v>14</v>
      </c>
      <c r="I80" s="69">
        <f t="shared" si="16"/>
        <v>12</v>
      </c>
      <c r="J80" s="69">
        <f t="shared" si="16"/>
        <v>7</v>
      </c>
      <c r="K80" s="69">
        <f t="shared" si="16"/>
        <v>20</v>
      </c>
      <c r="L80" s="69">
        <f t="shared" si="16"/>
        <v>46</v>
      </c>
      <c r="M80" s="69">
        <f t="shared" si="16"/>
        <v>0</v>
      </c>
      <c r="N80" s="69">
        <f t="shared" si="16"/>
        <v>36</v>
      </c>
      <c r="O80" s="56">
        <f t="shared" si="15"/>
        <v>1804</v>
      </c>
    </row>
    <row r="81" spans="1:15" ht="15">
      <c r="A81" s="35">
        <v>63</v>
      </c>
      <c r="B81" s="36" t="s">
        <v>139</v>
      </c>
      <c r="C81" s="69">
        <v>3838</v>
      </c>
      <c r="D81" s="69" t="s">
        <v>134</v>
      </c>
      <c r="E81" s="69">
        <v>64</v>
      </c>
      <c r="F81" s="69">
        <v>75</v>
      </c>
      <c r="G81" s="69">
        <v>68</v>
      </c>
      <c r="H81" s="69">
        <v>67</v>
      </c>
      <c r="I81" s="69">
        <v>12</v>
      </c>
      <c r="J81" s="69">
        <v>17</v>
      </c>
      <c r="K81" s="69">
        <v>0</v>
      </c>
      <c r="L81" s="69">
        <v>0</v>
      </c>
      <c r="M81" s="69">
        <v>0</v>
      </c>
      <c r="N81" s="69">
        <v>21</v>
      </c>
      <c r="O81" s="56">
        <f>SUM(E81:N81)</f>
        <v>324</v>
      </c>
    </row>
    <row r="82" spans="1:15" ht="15">
      <c r="A82" s="35">
        <v>65</v>
      </c>
      <c r="B82" s="36" t="s">
        <v>123</v>
      </c>
      <c r="C82" s="69">
        <v>3865</v>
      </c>
      <c r="D82" s="69" t="s">
        <v>120</v>
      </c>
      <c r="E82" s="69">
        <v>31</v>
      </c>
      <c r="F82" s="69">
        <v>118</v>
      </c>
      <c r="G82" s="69">
        <v>117</v>
      </c>
      <c r="H82" s="69">
        <v>1</v>
      </c>
      <c r="I82" s="69">
        <v>0</v>
      </c>
      <c r="J82" s="69">
        <v>1</v>
      </c>
      <c r="K82" s="69">
        <v>10</v>
      </c>
      <c r="L82" s="69">
        <v>1</v>
      </c>
      <c r="M82" s="69">
        <v>0</v>
      </c>
      <c r="N82" s="69">
        <v>15</v>
      </c>
      <c r="O82" s="56">
        <f>SUM(E82:N82)</f>
        <v>294</v>
      </c>
    </row>
    <row r="83" spans="1:15" ht="15">
      <c r="A83" s="35">
        <v>71</v>
      </c>
      <c r="B83" s="36" t="s">
        <v>136</v>
      </c>
      <c r="C83" s="69">
        <v>3945</v>
      </c>
      <c r="D83" s="69" t="s">
        <v>132</v>
      </c>
      <c r="E83" s="69">
        <v>32</v>
      </c>
      <c r="F83" s="69">
        <v>78</v>
      </c>
      <c r="G83" s="69">
        <v>82</v>
      </c>
      <c r="H83" s="69">
        <v>39</v>
      </c>
      <c r="I83" s="69">
        <v>1</v>
      </c>
      <c r="J83" s="69">
        <v>3</v>
      </c>
      <c r="K83" s="69">
        <v>1</v>
      </c>
      <c r="L83" s="69">
        <v>1</v>
      </c>
      <c r="M83" s="69">
        <v>0</v>
      </c>
      <c r="N83" s="69">
        <v>7</v>
      </c>
      <c r="O83" s="56">
        <f aca="true" t="shared" si="17" ref="O83:O94">SUM(E83:N83)</f>
        <v>244</v>
      </c>
    </row>
    <row r="84" spans="1:15" ht="12.75">
      <c r="A84" s="35"/>
      <c r="B84" s="36"/>
      <c r="C84" s="69">
        <v>3958</v>
      </c>
      <c r="D84" s="69" t="s">
        <v>132</v>
      </c>
      <c r="E84" s="69">
        <v>13</v>
      </c>
      <c r="F84" s="69">
        <v>95</v>
      </c>
      <c r="G84" s="69">
        <v>53</v>
      </c>
      <c r="H84" s="69">
        <v>27</v>
      </c>
      <c r="I84" s="69">
        <v>1</v>
      </c>
      <c r="J84" s="69">
        <v>1</v>
      </c>
      <c r="K84" s="69">
        <v>3</v>
      </c>
      <c r="L84" s="69">
        <v>2</v>
      </c>
      <c r="M84" s="69">
        <v>0</v>
      </c>
      <c r="N84" s="69">
        <v>6</v>
      </c>
      <c r="O84" s="56">
        <f t="shared" si="17"/>
        <v>201</v>
      </c>
    </row>
    <row r="85" spans="1:15" ht="12.75">
      <c r="A85" s="35"/>
      <c r="B85" s="36"/>
      <c r="C85" s="69">
        <v>3967</v>
      </c>
      <c r="D85" s="69" t="s">
        <v>133</v>
      </c>
      <c r="E85" s="69">
        <v>12</v>
      </c>
      <c r="F85" s="69">
        <v>53</v>
      </c>
      <c r="G85" s="69">
        <v>63</v>
      </c>
      <c r="H85" s="69">
        <v>33</v>
      </c>
      <c r="I85" s="69">
        <v>0</v>
      </c>
      <c r="J85" s="69">
        <v>3</v>
      </c>
      <c r="K85" s="69">
        <v>1</v>
      </c>
      <c r="L85" s="69">
        <v>1</v>
      </c>
      <c r="M85" s="69">
        <v>0</v>
      </c>
      <c r="N85" s="69">
        <v>3</v>
      </c>
      <c r="O85" s="56">
        <f t="shared" si="17"/>
        <v>169</v>
      </c>
    </row>
    <row r="86" spans="1:15" ht="12.75">
      <c r="A86" s="35"/>
      <c r="B86" s="36"/>
      <c r="C86" s="69">
        <v>3976</v>
      </c>
      <c r="D86" s="69" t="s">
        <v>132</v>
      </c>
      <c r="E86" s="69">
        <v>32</v>
      </c>
      <c r="F86" s="69">
        <v>87</v>
      </c>
      <c r="G86" s="69">
        <v>65</v>
      </c>
      <c r="H86" s="69">
        <v>57</v>
      </c>
      <c r="I86" s="69">
        <v>1</v>
      </c>
      <c r="J86" s="69">
        <v>2</v>
      </c>
      <c r="K86" s="69">
        <v>4</v>
      </c>
      <c r="L86" s="69">
        <v>1</v>
      </c>
      <c r="M86" s="69">
        <v>0</v>
      </c>
      <c r="N86" s="69">
        <v>11</v>
      </c>
      <c r="O86" s="56">
        <f t="shared" si="17"/>
        <v>260</v>
      </c>
    </row>
    <row r="87" spans="1:15" ht="12.75">
      <c r="A87" s="35"/>
      <c r="B87" s="36"/>
      <c r="C87" s="69">
        <v>3978</v>
      </c>
      <c r="D87" s="69" t="s">
        <v>132</v>
      </c>
      <c r="E87" s="69">
        <v>15</v>
      </c>
      <c r="F87" s="69">
        <v>120</v>
      </c>
      <c r="G87" s="69">
        <v>103</v>
      </c>
      <c r="H87" s="69">
        <v>56</v>
      </c>
      <c r="I87" s="69">
        <v>3</v>
      </c>
      <c r="J87" s="69">
        <v>0</v>
      </c>
      <c r="K87" s="69">
        <v>1</v>
      </c>
      <c r="L87" s="69">
        <v>1</v>
      </c>
      <c r="M87" s="69">
        <v>0</v>
      </c>
      <c r="N87" s="69">
        <v>5</v>
      </c>
      <c r="O87" s="56">
        <f t="shared" si="17"/>
        <v>304</v>
      </c>
    </row>
    <row r="88" spans="1:15" ht="12.75">
      <c r="A88" s="35"/>
      <c r="B88" s="36"/>
      <c r="C88" s="69">
        <v>3978</v>
      </c>
      <c r="D88" s="69" t="s">
        <v>120</v>
      </c>
      <c r="E88" s="69">
        <v>15</v>
      </c>
      <c r="F88" s="69">
        <v>120</v>
      </c>
      <c r="G88" s="69">
        <v>92</v>
      </c>
      <c r="H88" s="69">
        <v>71</v>
      </c>
      <c r="I88" s="69">
        <v>1</v>
      </c>
      <c r="J88" s="69">
        <v>4</v>
      </c>
      <c r="K88" s="69">
        <v>5</v>
      </c>
      <c r="L88" s="69">
        <v>2</v>
      </c>
      <c r="M88" s="69">
        <v>0</v>
      </c>
      <c r="N88" s="69">
        <v>0</v>
      </c>
      <c r="O88" s="56">
        <f t="shared" si="17"/>
        <v>310</v>
      </c>
    </row>
    <row r="89" spans="1:15" ht="12.75">
      <c r="A89" s="35"/>
      <c r="B89" s="36"/>
      <c r="C89" s="69">
        <v>3980</v>
      </c>
      <c r="D89" s="69" t="s">
        <v>132</v>
      </c>
      <c r="E89" s="69">
        <v>32</v>
      </c>
      <c r="F89" s="69">
        <v>142</v>
      </c>
      <c r="G89" s="69">
        <v>86</v>
      </c>
      <c r="H89" s="69">
        <v>27</v>
      </c>
      <c r="I89" s="69">
        <v>2</v>
      </c>
      <c r="J89" s="69">
        <v>2</v>
      </c>
      <c r="K89" s="69">
        <v>1</v>
      </c>
      <c r="L89" s="69">
        <v>1</v>
      </c>
      <c r="M89" s="69">
        <v>0</v>
      </c>
      <c r="N89" s="69">
        <v>7</v>
      </c>
      <c r="O89" s="56">
        <f t="shared" si="17"/>
        <v>300</v>
      </c>
    </row>
    <row r="90" spans="1:15" ht="12.75">
      <c r="A90" s="35"/>
      <c r="B90" s="36"/>
      <c r="C90" s="69">
        <v>3983</v>
      </c>
      <c r="D90" s="69" t="s">
        <v>132</v>
      </c>
      <c r="E90" s="69">
        <v>25</v>
      </c>
      <c r="F90" s="69">
        <v>107</v>
      </c>
      <c r="G90" s="69">
        <v>38</v>
      </c>
      <c r="H90" s="69">
        <v>55</v>
      </c>
      <c r="I90" s="69">
        <v>0</v>
      </c>
      <c r="J90" s="69">
        <v>3</v>
      </c>
      <c r="K90" s="69">
        <v>2</v>
      </c>
      <c r="L90" s="69">
        <v>0</v>
      </c>
      <c r="M90" s="69">
        <v>0</v>
      </c>
      <c r="N90" s="69">
        <v>4</v>
      </c>
      <c r="O90" s="56">
        <f t="shared" si="17"/>
        <v>234</v>
      </c>
    </row>
    <row r="91" spans="1:15" ht="12.75">
      <c r="A91" s="35"/>
      <c r="B91" s="36"/>
      <c r="C91" s="69">
        <v>3983</v>
      </c>
      <c r="D91" s="69" t="s">
        <v>120</v>
      </c>
      <c r="E91" s="69">
        <v>26</v>
      </c>
      <c r="F91" s="69">
        <v>137</v>
      </c>
      <c r="G91" s="69">
        <v>43</v>
      </c>
      <c r="H91" s="69">
        <v>48</v>
      </c>
      <c r="I91" s="69">
        <v>0</v>
      </c>
      <c r="J91" s="69">
        <v>2</v>
      </c>
      <c r="K91" s="69">
        <v>0</v>
      </c>
      <c r="L91" s="69">
        <v>1</v>
      </c>
      <c r="M91" s="69">
        <v>0</v>
      </c>
      <c r="N91" s="69">
        <v>3</v>
      </c>
      <c r="O91" s="56">
        <f t="shared" si="17"/>
        <v>260</v>
      </c>
    </row>
    <row r="92" spans="1:15" ht="12.75">
      <c r="A92" s="35"/>
      <c r="B92" s="36"/>
      <c r="C92" s="69">
        <v>3983</v>
      </c>
      <c r="D92" s="69" t="s">
        <v>134</v>
      </c>
      <c r="E92" s="69">
        <v>24</v>
      </c>
      <c r="F92" s="69">
        <v>127</v>
      </c>
      <c r="G92" s="69">
        <v>56</v>
      </c>
      <c r="H92" s="69">
        <v>45</v>
      </c>
      <c r="I92" s="69">
        <v>1</v>
      </c>
      <c r="J92" s="69">
        <v>3</v>
      </c>
      <c r="K92" s="69">
        <v>1</v>
      </c>
      <c r="L92" s="69">
        <v>0</v>
      </c>
      <c r="M92" s="69">
        <v>0</v>
      </c>
      <c r="N92" s="69">
        <v>5</v>
      </c>
      <c r="O92" s="56">
        <f t="shared" si="17"/>
        <v>262</v>
      </c>
    </row>
    <row r="93" spans="1:15" ht="12.75">
      <c r="A93" s="35"/>
      <c r="B93" s="36"/>
      <c r="C93" s="69">
        <v>3985</v>
      </c>
      <c r="D93" s="69" t="s">
        <v>120</v>
      </c>
      <c r="E93" s="69">
        <v>10</v>
      </c>
      <c r="F93" s="69">
        <v>54</v>
      </c>
      <c r="G93" s="69">
        <v>106</v>
      </c>
      <c r="H93" s="69">
        <v>31</v>
      </c>
      <c r="I93" s="69">
        <v>2</v>
      </c>
      <c r="J93" s="69">
        <v>2</v>
      </c>
      <c r="K93" s="69">
        <v>1</v>
      </c>
      <c r="L93" s="69">
        <v>1</v>
      </c>
      <c r="M93" s="69">
        <v>0</v>
      </c>
      <c r="N93" s="69">
        <v>8</v>
      </c>
      <c r="O93" s="56">
        <f t="shared" si="17"/>
        <v>215</v>
      </c>
    </row>
    <row r="94" spans="1:15" ht="12.75">
      <c r="A94" s="35"/>
      <c r="B94" s="77" t="s">
        <v>135</v>
      </c>
      <c r="C94" s="69"/>
      <c r="D94" s="69"/>
      <c r="E94" s="69">
        <f>SUM(E83:E93)</f>
        <v>236</v>
      </c>
      <c r="F94" s="69">
        <f aca="true" t="shared" si="18" ref="F94:N94">SUM(F83:F93)</f>
        <v>1120</v>
      </c>
      <c r="G94" s="74">
        <f t="shared" si="18"/>
        <v>787</v>
      </c>
      <c r="H94" s="69">
        <f t="shared" si="18"/>
        <v>489</v>
      </c>
      <c r="I94" s="69">
        <f t="shared" si="18"/>
        <v>12</v>
      </c>
      <c r="J94" s="69">
        <f t="shared" si="18"/>
        <v>25</v>
      </c>
      <c r="K94" s="69">
        <f t="shared" si="18"/>
        <v>20</v>
      </c>
      <c r="L94" s="69">
        <f t="shared" si="18"/>
        <v>11</v>
      </c>
      <c r="M94" s="69">
        <f t="shared" si="18"/>
        <v>0</v>
      </c>
      <c r="N94" s="69">
        <f t="shared" si="18"/>
        <v>59</v>
      </c>
      <c r="O94" s="79">
        <f t="shared" si="17"/>
        <v>2759</v>
      </c>
    </row>
    <row r="95" spans="1:15" ht="15">
      <c r="A95" s="35">
        <v>74</v>
      </c>
      <c r="B95" s="36" t="s">
        <v>169</v>
      </c>
      <c r="C95" s="69">
        <v>4025</v>
      </c>
      <c r="D95" s="69" t="s">
        <v>132</v>
      </c>
      <c r="E95" s="69">
        <v>86</v>
      </c>
      <c r="F95" s="69">
        <v>119</v>
      </c>
      <c r="G95" s="69">
        <v>209</v>
      </c>
      <c r="H95" s="69">
        <v>26</v>
      </c>
      <c r="I95" s="69">
        <v>0</v>
      </c>
      <c r="J95" s="69">
        <v>0</v>
      </c>
      <c r="K95" s="69">
        <v>0</v>
      </c>
      <c r="L95" s="69">
        <v>0</v>
      </c>
      <c r="M95" s="69">
        <v>0</v>
      </c>
      <c r="N95" s="69">
        <v>5</v>
      </c>
      <c r="O95" s="56">
        <f>SUM(E95:N95)</f>
        <v>445</v>
      </c>
    </row>
    <row r="96" spans="1:15" ht="12.75">
      <c r="A96" s="35"/>
      <c r="B96" s="36"/>
      <c r="C96" s="69">
        <v>4025</v>
      </c>
      <c r="D96" s="69" t="s">
        <v>120</v>
      </c>
      <c r="E96" s="69">
        <v>128</v>
      </c>
      <c r="F96" s="69">
        <v>87</v>
      </c>
      <c r="G96" s="69">
        <v>199</v>
      </c>
      <c r="H96" s="69">
        <v>21</v>
      </c>
      <c r="I96" s="69">
        <v>0</v>
      </c>
      <c r="J96" s="69">
        <v>0</v>
      </c>
      <c r="K96" s="69">
        <v>0</v>
      </c>
      <c r="L96" s="69">
        <v>0</v>
      </c>
      <c r="M96" s="69">
        <v>0</v>
      </c>
      <c r="N96" s="69">
        <v>6</v>
      </c>
      <c r="O96" s="56">
        <f>SUM(E96:N96)</f>
        <v>441</v>
      </c>
    </row>
    <row r="97" spans="1:15" ht="12.75">
      <c r="A97" s="35"/>
      <c r="B97" s="77" t="s">
        <v>135</v>
      </c>
      <c r="C97" s="69"/>
      <c r="D97" s="69"/>
      <c r="E97" s="69">
        <f>SUM(E95:E96)</f>
        <v>214</v>
      </c>
      <c r="F97" s="69">
        <f aca="true" t="shared" si="19" ref="F97:N97">SUM(F95:F96)</f>
        <v>206</v>
      </c>
      <c r="G97" s="69">
        <f t="shared" si="19"/>
        <v>408</v>
      </c>
      <c r="H97" s="69">
        <f t="shared" si="19"/>
        <v>47</v>
      </c>
      <c r="I97" s="69">
        <f t="shared" si="19"/>
        <v>0</v>
      </c>
      <c r="J97" s="69">
        <f t="shared" si="19"/>
        <v>0</v>
      </c>
      <c r="K97" s="69">
        <f t="shared" si="19"/>
        <v>0</v>
      </c>
      <c r="L97" s="69">
        <f t="shared" si="19"/>
        <v>0</v>
      </c>
      <c r="M97" s="69">
        <f t="shared" si="19"/>
        <v>0</v>
      </c>
      <c r="N97" s="69">
        <f t="shared" si="19"/>
        <v>11</v>
      </c>
      <c r="O97" s="56">
        <f>SUM(E97:N97)</f>
        <v>886</v>
      </c>
    </row>
    <row r="98" spans="1:15" ht="15">
      <c r="A98" s="35">
        <v>81</v>
      </c>
      <c r="B98" s="36" t="s">
        <v>189</v>
      </c>
      <c r="C98" s="69">
        <v>4169</v>
      </c>
      <c r="D98" s="69" t="s">
        <v>120</v>
      </c>
      <c r="E98" s="69">
        <v>100</v>
      </c>
      <c r="F98" s="69">
        <v>122</v>
      </c>
      <c r="G98" s="69">
        <v>25</v>
      </c>
      <c r="H98" s="69">
        <v>0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0</v>
      </c>
      <c r="O98" s="56">
        <f>SUM(E98:N98)</f>
        <v>247</v>
      </c>
    </row>
    <row r="99" spans="1:15" ht="15">
      <c r="A99" s="35">
        <v>96</v>
      </c>
      <c r="B99" s="44" t="s">
        <v>159</v>
      </c>
      <c r="C99" s="69">
        <v>4565</v>
      </c>
      <c r="D99" s="69" t="s">
        <v>134</v>
      </c>
      <c r="E99" s="69">
        <v>131</v>
      </c>
      <c r="F99" s="69">
        <v>132</v>
      </c>
      <c r="G99" s="69">
        <v>11</v>
      </c>
      <c r="H99" s="69">
        <v>18</v>
      </c>
      <c r="I99" s="69">
        <v>2</v>
      </c>
      <c r="J99" s="69">
        <v>0</v>
      </c>
      <c r="K99" s="69">
        <v>21</v>
      </c>
      <c r="L99" s="69">
        <v>0</v>
      </c>
      <c r="M99" s="69">
        <v>0</v>
      </c>
      <c r="N99" s="69">
        <v>3</v>
      </c>
      <c r="O99" s="56">
        <f aca="true" t="shared" si="20" ref="O99:O113">SUM(E99:N99)</f>
        <v>318</v>
      </c>
    </row>
    <row r="100" spans="1:15" ht="12.75">
      <c r="A100" s="35"/>
      <c r="B100" s="44"/>
      <c r="C100" s="69">
        <v>4566</v>
      </c>
      <c r="D100" s="69" t="s">
        <v>134</v>
      </c>
      <c r="E100" s="69">
        <v>177</v>
      </c>
      <c r="F100" s="69">
        <v>109</v>
      </c>
      <c r="G100" s="69">
        <v>26</v>
      </c>
      <c r="H100" s="69">
        <v>15</v>
      </c>
      <c r="I100" s="69">
        <v>1</v>
      </c>
      <c r="J100" s="69">
        <v>0</v>
      </c>
      <c r="K100" s="69">
        <v>17</v>
      </c>
      <c r="L100" s="69">
        <v>13</v>
      </c>
      <c r="M100" s="69">
        <v>0</v>
      </c>
      <c r="N100" s="69">
        <v>9</v>
      </c>
      <c r="O100" s="56">
        <f t="shared" si="20"/>
        <v>367</v>
      </c>
    </row>
    <row r="101" spans="1:15" ht="12.75">
      <c r="A101" s="35"/>
      <c r="B101" s="44"/>
      <c r="C101" s="69">
        <v>4567</v>
      </c>
      <c r="D101" s="69" t="s">
        <v>132</v>
      </c>
      <c r="E101" s="69">
        <v>110</v>
      </c>
      <c r="F101" s="69">
        <v>110</v>
      </c>
      <c r="G101" s="69">
        <v>50</v>
      </c>
      <c r="H101" s="69">
        <v>12</v>
      </c>
      <c r="I101" s="69">
        <v>5</v>
      </c>
      <c r="J101" s="69">
        <v>0</v>
      </c>
      <c r="K101" s="69">
        <v>0</v>
      </c>
      <c r="L101" s="69">
        <v>2</v>
      </c>
      <c r="M101" s="69">
        <v>0</v>
      </c>
      <c r="N101" s="69">
        <v>5</v>
      </c>
      <c r="O101" s="56">
        <f t="shared" si="20"/>
        <v>294</v>
      </c>
    </row>
    <row r="102" spans="1:15" ht="12.75">
      <c r="A102" s="35"/>
      <c r="B102" s="44"/>
      <c r="C102" s="69">
        <v>4568</v>
      </c>
      <c r="D102" s="69" t="s">
        <v>120</v>
      </c>
      <c r="E102" s="69">
        <v>113</v>
      </c>
      <c r="F102" s="69">
        <v>110</v>
      </c>
      <c r="G102" s="69">
        <v>75</v>
      </c>
      <c r="H102" s="69">
        <v>16</v>
      </c>
      <c r="I102" s="69">
        <v>4</v>
      </c>
      <c r="J102" s="69">
        <v>0</v>
      </c>
      <c r="K102" s="69">
        <v>3</v>
      </c>
      <c r="L102" s="69">
        <v>3</v>
      </c>
      <c r="M102" s="69">
        <v>0</v>
      </c>
      <c r="N102" s="69">
        <v>3</v>
      </c>
      <c r="O102" s="56">
        <f t="shared" si="20"/>
        <v>327</v>
      </c>
    </row>
    <row r="103" spans="1:15" ht="12.75">
      <c r="A103" s="35"/>
      <c r="B103" s="44"/>
      <c r="C103" s="69">
        <v>4571</v>
      </c>
      <c r="D103" s="69" t="s">
        <v>134</v>
      </c>
      <c r="E103" s="69">
        <v>208</v>
      </c>
      <c r="F103" s="69">
        <v>104</v>
      </c>
      <c r="G103" s="69">
        <v>30</v>
      </c>
      <c r="H103" s="69">
        <v>11</v>
      </c>
      <c r="I103" s="69">
        <v>1</v>
      </c>
      <c r="J103" s="69">
        <v>0</v>
      </c>
      <c r="K103" s="69">
        <v>4</v>
      </c>
      <c r="L103" s="69">
        <v>4</v>
      </c>
      <c r="M103" s="69">
        <v>0</v>
      </c>
      <c r="N103" s="69">
        <v>6</v>
      </c>
      <c r="O103" s="56">
        <f t="shared" si="20"/>
        <v>368</v>
      </c>
    </row>
    <row r="104" spans="1:15" ht="12.75">
      <c r="A104" s="35"/>
      <c r="B104" s="44"/>
      <c r="C104" s="69">
        <v>4573</v>
      </c>
      <c r="D104" s="69" t="s">
        <v>132</v>
      </c>
      <c r="E104" s="69">
        <v>141</v>
      </c>
      <c r="F104" s="69">
        <v>101</v>
      </c>
      <c r="G104" s="69">
        <v>18</v>
      </c>
      <c r="H104" s="69">
        <v>5</v>
      </c>
      <c r="I104" s="69">
        <v>1</v>
      </c>
      <c r="J104" s="69">
        <v>0</v>
      </c>
      <c r="K104" s="69">
        <v>3</v>
      </c>
      <c r="L104" s="69">
        <v>4</v>
      </c>
      <c r="M104" s="69">
        <v>0</v>
      </c>
      <c r="N104" s="69">
        <v>3</v>
      </c>
      <c r="O104" s="56">
        <f t="shared" si="20"/>
        <v>276</v>
      </c>
    </row>
    <row r="105" spans="1:15" ht="12.75">
      <c r="A105" s="35"/>
      <c r="B105" s="44"/>
      <c r="C105" s="69">
        <v>4573</v>
      </c>
      <c r="D105" s="69" t="s">
        <v>120</v>
      </c>
      <c r="E105" s="69">
        <v>129</v>
      </c>
      <c r="F105" s="69">
        <v>100</v>
      </c>
      <c r="G105" s="69">
        <v>10</v>
      </c>
      <c r="H105" s="69">
        <v>2</v>
      </c>
      <c r="I105" s="69">
        <v>0</v>
      </c>
      <c r="J105" s="69">
        <v>0</v>
      </c>
      <c r="K105" s="69">
        <v>5</v>
      </c>
      <c r="L105" s="69">
        <v>7</v>
      </c>
      <c r="M105" s="69">
        <v>0</v>
      </c>
      <c r="N105" s="69">
        <v>9</v>
      </c>
      <c r="O105" s="56">
        <f t="shared" si="20"/>
        <v>262</v>
      </c>
    </row>
    <row r="106" spans="1:15" ht="12.75">
      <c r="A106" s="35"/>
      <c r="B106" s="44"/>
      <c r="C106" s="69">
        <v>4573</v>
      </c>
      <c r="D106" s="69" t="s">
        <v>134</v>
      </c>
      <c r="E106" s="69">
        <v>130</v>
      </c>
      <c r="F106" s="69">
        <v>93</v>
      </c>
      <c r="G106" s="69">
        <v>18</v>
      </c>
      <c r="H106" s="69">
        <v>14</v>
      </c>
      <c r="I106" s="69">
        <v>1</v>
      </c>
      <c r="J106" s="69">
        <v>0</v>
      </c>
      <c r="K106" s="69">
        <v>3</v>
      </c>
      <c r="L106" s="69">
        <v>3</v>
      </c>
      <c r="M106" s="69">
        <v>0</v>
      </c>
      <c r="N106" s="69">
        <v>9</v>
      </c>
      <c r="O106" s="56">
        <f t="shared" si="20"/>
        <v>271</v>
      </c>
    </row>
    <row r="107" spans="1:15" ht="12.75">
      <c r="A107" s="35"/>
      <c r="B107" s="44"/>
      <c r="C107" s="69">
        <v>4575</v>
      </c>
      <c r="D107" s="69" t="s">
        <v>132</v>
      </c>
      <c r="E107" s="69">
        <v>174</v>
      </c>
      <c r="F107" s="69">
        <v>106</v>
      </c>
      <c r="G107" s="69">
        <v>26</v>
      </c>
      <c r="H107" s="69">
        <v>6</v>
      </c>
      <c r="I107" s="69">
        <v>2</v>
      </c>
      <c r="J107" s="69">
        <v>0</v>
      </c>
      <c r="K107" s="69">
        <v>3</v>
      </c>
      <c r="L107" s="69">
        <v>8</v>
      </c>
      <c r="M107" s="69">
        <v>0</v>
      </c>
      <c r="N107" s="69">
        <v>5</v>
      </c>
      <c r="O107" s="56">
        <f t="shared" si="20"/>
        <v>330</v>
      </c>
    </row>
    <row r="108" spans="1:15" ht="12.75">
      <c r="A108" s="35"/>
      <c r="B108" s="44"/>
      <c r="C108" s="69">
        <v>4575</v>
      </c>
      <c r="D108" s="69" t="s">
        <v>120</v>
      </c>
      <c r="E108" s="69">
        <v>161</v>
      </c>
      <c r="F108" s="69">
        <v>97</v>
      </c>
      <c r="G108" s="69">
        <v>25</v>
      </c>
      <c r="H108" s="69">
        <v>15</v>
      </c>
      <c r="I108" s="69">
        <v>0</v>
      </c>
      <c r="J108" s="69">
        <v>0</v>
      </c>
      <c r="K108" s="69">
        <v>3</v>
      </c>
      <c r="L108" s="69">
        <v>0</v>
      </c>
      <c r="M108" s="69">
        <v>0</v>
      </c>
      <c r="N108" s="69">
        <v>7</v>
      </c>
      <c r="O108" s="56">
        <f t="shared" si="20"/>
        <v>308</v>
      </c>
    </row>
    <row r="109" spans="1:15" ht="12.75">
      <c r="A109" s="35"/>
      <c r="B109" s="44"/>
      <c r="C109" s="69">
        <v>4575</v>
      </c>
      <c r="D109" s="69" t="s">
        <v>134</v>
      </c>
      <c r="E109" s="69">
        <v>182</v>
      </c>
      <c r="F109" s="69">
        <v>80</v>
      </c>
      <c r="G109" s="69">
        <v>26</v>
      </c>
      <c r="H109" s="69">
        <v>13</v>
      </c>
      <c r="I109" s="69">
        <v>0</v>
      </c>
      <c r="J109" s="69">
        <v>0</v>
      </c>
      <c r="K109" s="69">
        <v>5</v>
      </c>
      <c r="L109" s="69">
        <v>4</v>
      </c>
      <c r="M109" s="69">
        <v>0</v>
      </c>
      <c r="N109" s="69">
        <v>3</v>
      </c>
      <c r="O109" s="56">
        <f t="shared" si="20"/>
        <v>313</v>
      </c>
    </row>
    <row r="110" spans="1:15" ht="12.75">
      <c r="A110" s="35"/>
      <c r="B110" s="44"/>
      <c r="C110" s="69">
        <v>4582</v>
      </c>
      <c r="D110" s="69" t="s">
        <v>120</v>
      </c>
      <c r="E110" s="69">
        <v>115</v>
      </c>
      <c r="F110" s="69">
        <v>121</v>
      </c>
      <c r="G110" s="69">
        <v>11</v>
      </c>
      <c r="H110" s="69">
        <v>14</v>
      </c>
      <c r="I110" s="69">
        <v>5</v>
      </c>
      <c r="J110" s="69">
        <v>0</v>
      </c>
      <c r="K110" s="69">
        <v>7</v>
      </c>
      <c r="L110" s="69">
        <v>1</v>
      </c>
      <c r="M110" s="69">
        <v>0</v>
      </c>
      <c r="N110" s="69">
        <v>7</v>
      </c>
      <c r="O110" s="56">
        <f t="shared" si="20"/>
        <v>281</v>
      </c>
    </row>
    <row r="111" spans="1:15" ht="12.75">
      <c r="A111" s="35"/>
      <c r="B111" s="44"/>
      <c r="C111" s="69">
        <v>4582</v>
      </c>
      <c r="D111" s="69" t="s">
        <v>160</v>
      </c>
      <c r="E111" s="69">
        <v>124</v>
      </c>
      <c r="F111" s="69">
        <v>135</v>
      </c>
      <c r="G111" s="69">
        <v>18</v>
      </c>
      <c r="H111" s="69">
        <v>6</v>
      </c>
      <c r="I111" s="69">
        <v>8</v>
      </c>
      <c r="J111" s="69">
        <v>0</v>
      </c>
      <c r="K111" s="69">
        <v>7</v>
      </c>
      <c r="L111" s="69">
        <v>0</v>
      </c>
      <c r="M111" s="69">
        <v>0</v>
      </c>
      <c r="N111" s="69">
        <v>11</v>
      </c>
      <c r="O111" s="56">
        <f t="shared" si="20"/>
        <v>309</v>
      </c>
    </row>
    <row r="112" spans="1:15" ht="12.75">
      <c r="A112" s="35"/>
      <c r="B112" s="44"/>
      <c r="C112" s="69">
        <v>4586</v>
      </c>
      <c r="D112" s="69" t="s">
        <v>120</v>
      </c>
      <c r="E112" s="69">
        <v>102</v>
      </c>
      <c r="F112" s="69">
        <v>104</v>
      </c>
      <c r="G112" s="69">
        <v>25</v>
      </c>
      <c r="H112" s="69">
        <v>12</v>
      </c>
      <c r="I112" s="69">
        <v>2</v>
      </c>
      <c r="J112" s="69">
        <v>0</v>
      </c>
      <c r="K112" s="69">
        <v>30</v>
      </c>
      <c r="L112" s="69">
        <v>2</v>
      </c>
      <c r="M112" s="69">
        <v>0</v>
      </c>
      <c r="N112" s="69">
        <v>12</v>
      </c>
      <c r="O112" s="56">
        <f t="shared" si="20"/>
        <v>289</v>
      </c>
    </row>
    <row r="113" spans="1:15" ht="12.75">
      <c r="A113" s="35"/>
      <c r="B113" s="84" t="s">
        <v>135</v>
      </c>
      <c r="C113" s="69"/>
      <c r="D113" s="69"/>
      <c r="E113" s="69">
        <f>SUM(E99:E112)</f>
        <v>1997</v>
      </c>
      <c r="F113" s="69">
        <f aca="true" t="shared" si="21" ref="F113:N113">SUM(F99:F112)</f>
        <v>1502</v>
      </c>
      <c r="G113" s="69">
        <f t="shared" si="21"/>
        <v>369</v>
      </c>
      <c r="H113" s="69">
        <f t="shared" si="21"/>
        <v>159</v>
      </c>
      <c r="I113" s="69">
        <f t="shared" si="21"/>
        <v>32</v>
      </c>
      <c r="J113" s="69">
        <f t="shared" si="21"/>
        <v>0</v>
      </c>
      <c r="K113" s="69">
        <f t="shared" si="21"/>
        <v>111</v>
      </c>
      <c r="L113" s="69">
        <f t="shared" si="21"/>
        <v>51</v>
      </c>
      <c r="M113" s="69">
        <f t="shared" si="21"/>
        <v>0</v>
      </c>
      <c r="N113" s="69">
        <f t="shared" si="21"/>
        <v>92</v>
      </c>
      <c r="O113" s="56">
        <f t="shared" si="20"/>
        <v>4313</v>
      </c>
    </row>
    <row r="114" spans="1:15" ht="15">
      <c r="A114" s="35">
        <v>100</v>
      </c>
      <c r="B114" s="36" t="s">
        <v>157</v>
      </c>
      <c r="C114" s="69">
        <v>4674</v>
      </c>
      <c r="D114" s="69" t="s">
        <v>134</v>
      </c>
      <c r="E114" s="69">
        <v>56</v>
      </c>
      <c r="F114" s="69">
        <v>65</v>
      </c>
      <c r="G114" s="69">
        <v>68</v>
      </c>
      <c r="H114" s="69">
        <v>5</v>
      </c>
      <c r="I114" s="69">
        <v>11</v>
      </c>
      <c r="J114" s="69">
        <v>0</v>
      </c>
      <c r="K114" s="69">
        <v>3</v>
      </c>
      <c r="L114" s="69">
        <v>5</v>
      </c>
      <c r="M114" s="69">
        <v>0</v>
      </c>
      <c r="N114" s="69">
        <v>5</v>
      </c>
      <c r="O114" s="56">
        <f>SUM(E114:N114)</f>
        <v>218</v>
      </c>
    </row>
    <row r="115" spans="1:15" ht="15">
      <c r="A115" s="35">
        <v>110</v>
      </c>
      <c r="B115" s="44" t="s">
        <v>164</v>
      </c>
      <c r="C115" s="69">
        <v>5502</v>
      </c>
      <c r="D115" s="69" t="s">
        <v>132</v>
      </c>
      <c r="E115" s="69">
        <v>35</v>
      </c>
      <c r="F115" s="69">
        <v>70</v>
      </c>
      <c r="G115" s="69">
        <v>154</v>
      </c>
      <c r="H115" s="69">
        <v>10</v>
      </c>
      <c r="I115" s="69">
        <v>2</v>
      </c>
      <c r="J115" s="69">
        <v>4</v>
      </c>
      <c r="K115" s="69">
        <v>2</v>
      </c>
      <c r="L115" s="69">
        <v>0</v>
      </c>
      <c r="M115" s="69">
        <v>0</v>
      </c>
      <c r="N115" s="69">
        <v>0</v>
      </c>
      <c r="O115" s="56">
        <f aca="true" t="shared" si="22" ref="O115:O129">SUM(E115:N115)</f>
        <v>277</v>
      </c>
    </row>
    <row r="116" spans="1:15" ht="12.75">
      <c r="A116" s="35"/>
      <c r="B116" s="44"/>
      <c r="C116" s="69">
        <v>5512</v>
      </c>
      <c r="D116" s="69" t="s">
        <v>120</v>
      </c>
      <c r="E116" s="69">
        <v>6</v>
      </c>
      <c r="F116" s="69">
        <v>56</v>
      </c>
      <c r="G116" s="69">
        <v>145</v>
      </c>
      <c r="H116" s="69">
        <v>11</v>
      </c>
      <c r="I116" s="69">
        <v>0</v>
      </c>
      <c r="J116" s="69">
        <v>0</v>
      </c>
      <c r="K116" s="69">
        <v>0</v>
      </c>
      <c r="L116" s="69">
        <v>2</v>
      </c>
      <c r="M116" s="69">
        <v>0</v>
      </c>
      <c r="N116" s="69">
        <v>6</v>
      </c>
      <c r="O116" s="56">
        <f t="shared" si="22"/>
        <v>226</v>
      </c>
    </row>
    <row r="117" spans="1:15" ht="12.75">
      <c r="A117" s="35"/>
      <c r="B117" s="44"/>
      <c r="C117" s="69">
        <v>5516</v>
      </c>
      <c r="D117" s="69" t="s">
        <v>132</v>
      </c>
      <c r="E117" s="69">
        <v>15</v>
      </c>
      <c r="F117" s="69">
        <v>75</v>
      </c>
      <c r="G117" s="69">
        <v>135</v>
      </c>
      <c r="H117" s="69">
        <v>18</v>
      </c>
      <c r="I117" s="69">
        <v>1</v>
      </c>
      <c r="J117" s="69">
        <v>0</v>
      </c>
      <c r="K117" s="69">
        <v>1</v>
      </c>
      <c r="L117" s="69">
        <v>1</v>
      </c>
      <c r="M117" s="69">
        <v>0</v>
      </c>
      <c r="N117" s="69">
        <v>6</v>
      </c>
      <c r="O117" s="56">
        <f t="shared" si="22"/>
        <v>252</v>
      </c>
    </row>
    <row r="118" spans="1:15" ht="12.75">
      <c r="A118" s="35"/>
      <c r="B118" s="44"/>
      <c r="C118" s="69">
        <v>5548</v>
      </c>
      <c r="D118" s="69" t="s">
        <v>132</v>
      </c>
      <c r="E118" s="69">
        <v>31</v>
      </c>
      <c r="F118" s="69">
        <v>53</v>
      </c>
      <c r="G118" s="69">
        <v>106</v>
      </c>
      <c r="H118" s="69">
        <v>10</v>
      </c>
      <c r="I118" s="69">
        <v>1</v>
      </c>
      <c r="J118" s="69">
        <v>2</v>
      </c>
      <c r="K118" s="69">
        <v>0</v>
      </c>
      <c r="L118" s="69">
        <v>0</v>
      </c>
      <c r="M118" s="69">
        <v>0</v>
      </c>
      <c r="N118" s="69">
        <v>7</v>
      </c>
      <c r="O118" s="56">
        <f t="shared" si="22"/>
        <v>210</v>
      </c>
    </row>
    <row r="119" spans="1:15" ht="12.75">
      <c r="A119" s="35"/>
      <c r="B119" s="44"/>
      <c r="C119" s="69">
        <v>5548</v>
      </c>
      <c r="D119" s="69" t="s">
        <v>134</v>
      </c>
      <c r="E119" s="69">
        <v>20</v>
      </c>
      <c r="F119" s="69">
        <v>72</v>
      </c>
      <c r="G119" s="69">
        <v>96</v>
      </c>
      <c r="H119" s="69">
        <v>17</v>
      </c>
      <c r="I119" s="69">
        <v>1</v>
      </c>
      <c r="J119" s="69">
        <v>2</v>
      </c>
      <c r="K119" s="69">
        <v>0</v>
      </c>
      <c r="L119" s="69">
        <v>2</v>
      </c>
      <c r="M119" s="69">
        <v>0</v>
      </c>
      <c r="N119" s="69">
        <v>0</v>
      </c>
      <c r="O119" s="56">
        <f t="shared" si="22"/>
        <v>210</v>
      </c>
    </row>
    <row r="120" spans="1:15" ht="12.75">
      <c r="A120" s="35"/>
      <c r="B120" s="44"/>
      <c r="C120" s="69">
        <v>5577</v>
      </c>
      <c r="D120" s="69" t="s">
        <v>120</v>
      </c>
      <c r="E120" s="69">
        <v>50</v>
      </c>
      <c r="F120" s="69">
        <v>83</v>
      </c>
      <c r="G120" s="69">
        <v>87</v>
      </c>
      <c r="H120" s="69">
        <v>26</v>
      </c>
      <c r="I120" s="69">
        <v>0</v>
      </c>
      <c r="J120" s="69">
        <v>0</v>
      </c>
      <c r="K120" s="69">
        <v>2</v>
      </c>
      <c r="L120" s="69">
        <v>0</v>
      </c>
      <c r="M120" s="69">
        <v>0</v>
      </c>
      <c r="N120" s="69">
        <v>5</v>
      </c>
      <c r="O120" s="56">
        <f t="shared" si="22"/>
        <v>253</v>
      </c>
    </row>
    <row r="121" spans="1:15" ht="12.75">
      <c r="A121" s="35"/>
      <c r="B121" s="44"/>
      <c r="C121" s="69">
        <v>5577</v>
      </c>
      <c r="D121" s="69" t="s">
        <v>134</v>
      </c>
      <c r="E121" s="69">
        <v>47</v>
      </c>
      <c r="F121" s="69">
        <v>97</v>
      </c>
      <c r="G121" s="69">
        <v>97</v>
      </c>
      <c r="H121" s="69">
        <v>34</v>
      </c>
      <c r="I121" s="69">
        <v>0</v>
      </c>
      <c r="J121" s="69">
        <v>1</v>
      </c>
      <c r="K121" s="69">
        <v>0</v>
      </c>
      <c r="L121" s="69">
        <v>0</v>
      </c>
      <c r="M121" s="69">
        <v>0</v>
      </c>
      <c r="N121" s="69">
        <v>5</v>
      </c>
      <c r="O121" s="56">
        <f t="shared" si="22"/>
        <v>281</v>
      </c>
    </row>
    <row r="122" spans="1:15" ht="12.75">
      <c r="A122" s="35"/>
      <c r="B122" s="44"/>
      <c r="C122" s="69">
        <v>5581</v>
      </c>
      <c r="D122" s="69" t="s">
        <v>120</v>
      </c>
      <c r="E122" s="69">
        <v>57</v>
      </c>
      <c r="F122" s="69">
        <v>80</v>
      </c>
      <c r="G122" s="69">
        <v>93</v>
      </c>
      <c r="H122" s="69">
        <v>24</v>
      </c>
      <c r="I122" s="69">
        <v>1</v>
      </c>
      <c r="J122" s="69">
        <v>4</v>
      </c>
      <c r="K122" s="69">
        <v>4</v>
      </c>
      <c r="L122" s="69">
        <v>1</v>
      </c>
      <c r="M122" s="69">
        <v>0</v>
      </c>
      <c r="N122" s="69">
        <v>4</v>
      </c>
      <c r="O122" s="56">
        <f t="shared" si="22"/>
        <v>268</v>
      </c>
    </row>
    <row r="123" spans="1:15" ht="12.75">
      <c r="A123" s="35"/>
      <c r="B123" s="44"/>
      <c r="C123" s="69">
        <v>5582</v>
      </c>
      <c r="D123" s="69" t="s">
        <v>120</v>
      </c>
      <c r="E123" s="69">
        <v>62</v>
      </c>
      <c r="F123" s="69">
        <v>50</v>
      </c>
      <c r="G123" s="69">
        <v>63</v>
      </c>
      <c r="H123" s="69">
        <v>20</v>
      </c>
      <c r="I123" s="69">
        <v>1</v>
      </c>
      <c r="J123" s="69">
        <v>2</v>
      </c>
      <c r="K123" s="69">
        <v>0</v>
      </c>
      <c r="L123" s="69">
        <v>2</v>
      </c>
      <c r="M123" s="69">
        <v>0</v>
      </c>
      <c r="N123" s="69">
        <v>11</v>
      </c>
      <c r="O123" s="56">
        <f t="shared" si="22"/>
        <v>211</v>
      </c>
    </row>
    <row r="124" spans="1:15" ht="12.75">
      <c r="A124" s="35"/>
      <c r="B124" s="44"/>
      <c r="C124" s="69">
        <v>5582</v>
      </c>
      <c r="D124" s="69" t="s">
        <v>134</v>
      </c>
      <c r="E124" s="69">
        <v>51</v>
      </c>
      <c r="F124" s="69">
        <v>47</v>
      </c>
      <c r="G124" s="69">
        <v>66</v>
      </c>
      <c r="H124" s="69">
        <v>16</v>
      </c>
      <c r="I124" s="69">
        <v>1</v>
      </c>
      <c r="J124" s="69">
        <v>1</v>
      </c>
      <c r="K124" s="69">
        <v>1</v>
      </c>
      <c r="L124" s="69">
        <v>0</v>
      </c>
      <c r="M124" s="69">
        <v>0</v>
      </c>
      <c r="N124" s="69">
        <v>7</v>
      </c>
      <c r="O124" s="56">
        <f t="shared" si="22"/>
        <v>190</v>
      </c>
    </row>
    <row r="125" spans="1:15" ht="12.75">
      <c r="A125" s="35"/>
      <c r="B125" s="44"/>
      <c r="C125" s="69">
        <v>5594</v>
      </c>
      <c r="D125" s="69" t="s">
        <v>132</v>
      </c>
      <c r="E125" s="69">
        <v>39</v>
      </c>
      <c r="F125" s="69">
        <v>78</v>
      </c>
      <c r="G125" s="69">
        <v>82</v>
      </c>
      <c r="H125" s="69">
        <v>19</v>
      </c>
      <c r="I125" s="69">
        <v>1</v>
      </c>
      <c r="J125" s="69">
        <v>4</v>
      </c>
      <c r="K125" s="69">
        <v>1</v>
      </c>
      <c r="L125" s="69">
        <v>1</v>
      </c>
      <c r="M125" s="69">
        <v>0</v>
      </c>
      <c r="N125" s="69">
        <v>5</v>
      </c>
      <c r="O125" s="56">
        <f t="shared" si="22"/>
        <v>230</v>
      </c>
    </row>
    <row r="126" spans="1:15" ht="12.75">
      <c r="A126" s="35"/>
      <c r="B126" s="44"/>
      <c r="C126" s="69">
        <v>5633</v>
      </c>
      <c r="D126" s="69" t="s">
        <v>120</v>
      </c>
      <c r="E126" s="69">
        <v>54</v>
      </c>
      <c r="F126" s="69">
        <v>38</v>
      </c>
      <c r="G126" s="69">
        <v>49</v>
      </c>
      <c r="H126" s="69">
        <v>1</v>
      </c>
      <c r="I126" s="69">
        <v>1</v>
      </c>
      <c r="J126" s="69">
        <v>10</v>
      </c>
      <c r="K126" s="69">
        <v>1</v>
      </c>
      <c r="L126" s="69">
        <v>0</v>
      </c>
      <c r="M126" s="69">
        <v>0</v>
      </c>
      <c r="N126" s="69">
        <v>7</v>
      </c>
      <c r="O126" s="56">
        <f t="shared" si="22"/>
        <v>161</v>
      </c>
    </row>
    <row r="127" spans="1:15" ht="12.75">
      <c r="A127" s="35"/>
      <c r="B127" s="44"/>
      <c r="C127" s="69">
        <v>5641</v>
      </c>
      <c r="D127" s="69" t="s">
        <v>132</v>
      </c>
      <c r="E127" s="69">
        <v>103</v>
      </c>
      <c r="F127" s="69">
        <v>61</v>
      </c>
      <c r="G127" s="69">
        <v>85</v>
      </c>
      <c r="H127" s="69">
        <v>7</v>
      </c>
      <c r="I127" s="69">
        <v>1</v>
      </c>
      <c r="J127" s="69">
        <v>10</v>
      </c>
      <c r="K127" s="69">
        <v>0</v>
      </c>
      <c r="L127" s="69">
        <v>0</v>
      </c>
      <c r="M127" s="69">
        <v>0</v>
      </c>
      <c r="N127" s="69">
        <v>9</v>
      </c>
      <c r="O127" s="56">
        <f t="shared" si="22"/>
        <v>276</v>
      </c>
    </row>
    <row r="128" spans="1:15" ht="12.75">
      <c r="A128" s="35"/>
      <c r="B128" s="44"/>
      <c r="C128" s="69">
        <v>5647</v>
      </c>
      <c r="D128" s="69" t="s">
        <v>132</v>
      </c>
      <c r="E128" s="69">
        <v>42</v>
      </c>
      <c r="F128" s="69">
        <v>48</v>
      </c>
      <c r="G128" s="69">
        <v>57</v>
      </c>
      <c r="H128" s="69">
        <v>30</v>
      </c>
      <c r="I128" s="69">
        <v>1</v>
      </c>
      <c r="J128" s="69">
        <v>2</v>
      </c>
      <c r="K128" s="69">
        <v>0</v>
      </c>
      <c r="L128" s="69">
        <v>0</v>
      </c>
      <c r="M128" s="69">
        <v>0</v>
      </c>
      <c r="N128" s="69">
        <v>2</v>
      </c>
      <c r="O128" s="56">
        <f t="shared" si="22"/>
        <v>182</v>
      </c>
    </row>
    <row r="129" spans="1:15" ht="12.75">
      <c r="A129" s="35"/>
      <c r="B129" s="84" t="s">
        <v>135</v>
      </c>
      <c r="C129" s="69"/>
      <c r="D129" s="69"/>
      <c r="E129" s="74">
        <f>SUM(E115:E128)</f>
        <v>612</v>
      </c>
      <c r="F129" s="74">
        <f aca="true" t="shared" si="23" ref="F129:N129">SUM(F115:F128)</f>
        <v>908</v>
      </c>
      <c r="G129" s="74">
        <f t="shared" si="23"/>
        <v>1315</v>
      </c>
      <c r="H129" s="74">
        <f t="shared" si="23"/>
        <v>243</v>
      </c>
      <c r="I129" s="74">
        <f t="shared" si="23"/>
        <v>12</v>
      </c>
      <c r="J129" s="74">
        <f t="shared" si="23"/>
        <v>42</v>
      </c>
      <c r="K129" s="74">
        <f t="shared" si="23"/>
        <v>12</v>
      </c>
      <c r="L129" s="69">
        <f t="shared" si="23"/>
        <v>9</v>
      </c>
      <c r="M129" s="69">
        <f t="shared" si="23"/>
        <v>0</v>
      </c>
      <c r="N129" s="74">
        <f t="shared" si="23"/>
        <v>74</v>
      </c>
      <c r="O129" s="79">
        <f t="shared" si="22"/>
        <v>3227</v>
      </c>
    </row>
    <row r="130" spans="1:15" ht="15">
      <c r="A130" s="35">
        <v>112</v>
      </c>
      <c r="B130" s="44" t="s">
        <v>190</v>
      </c>
      <c r="C130" s="69">
        <v>5693</v>
      </c>
      <c r="D130" s="69" t="s">
        <v>148</v>
      </c>
      <c r="E130" s="69">
        <v>54</v>
      </c>
      <c r="F130" s="69">
        <v>125</v>
      </c>
      <c r="G130" s="69">
        <v>124</v>
      </c>
      <c r="H130" s="69">
        <v>68</v>
      </c>
      <c r="I130" s="69">
        <v>0</v>
      </c>
      <c r="J130" s="69">
        <v>0</v>
      </c>
      <c r="K130" s="69">
        <v>0</v>
      </c>
      <c r="L130" s="69">
        <v>0</v>
      </c>
      <c r="M130" s="69">
        <v>0</v>
      </c>
      <c r="N130" s="69">
        <v>18</v>
      </c>
      <c r="O130" s="56">
        <f aca="true" t="shared" si="24" ref="O130:O135">SUM(E130:N130)</f>
        <v>389</v>
      </c>
    </row>
    <row r="131" spans="1:15" ht="12.75">
      <c r="A131" s="35"/>
      <c r="B131" s="84" t="s">
        <v>149</v>
      </c>
      <c r="C131" s="69">
        <v>5693</v>
      </c>
      <c r="D131" s="69" t="s">
        <v>147</v>
      </c>
      <c r="E131" s="69">
        <v>53</v>
      </c>
      <c r="F131" s="69">
        <v>124</v>
      </c>
      <c r="G131" s="69">
        <v>135</v>
      </c>
      <c r="H131" s="69">
        <v>52</v>
      </c>
      <c r="I131" s="69">
        <v>0</v>
      </c>
      <c r="J131" s="69">
        <v>2</v>
      </c>
      <c r="K131" s="69">
        <v>1</v>
      </c>
      <c r="L131" s="69">
        <v>0</v>
      </c>
      <c r="M131" s="69">
        <v>0</v>
      </c>
      <c r="N131" s="69">
        <v>18</v>
      </c>
      <c r="O131" s="56">
        <f t="shared" si="24"/>
        <v>385</v>
      </c>
    </row>
    <row r="132" spans="1:15" ht="12.75">
      <c r="A132" s="35"/>
      <c r="B132" s="84" t="s">
        <v>135</v>
      </c>
      <c r="C132" s="69"/>
      <c r="D132" s="69"/>
      <c r="E132" s="69">
        <f>E130-E131</f>
        <v>1</v>
      </c>
      <c r="F132" s="69">
        <f aca="true" t="shared" si="25" ref="F132:N132">F130-F131</f>
        <v>1</v>
      </c>
      <c r="G132" s="69">
        <f t="shared" si="25"/>
        <v>-11</v>
      </c>
      <c r="H132" s="69">
        <f t="shared" si="25"/>
        <v>16</v>
      </c>
      <c r="I132" s="69">
        <f t="shared" si="25"/>
        <v>0</v>
      </c>
      <c r="J132" s="69">
        <f t="shared" si="25"/>
        <v>-2</v>
      </c>
      <c r="K132" s="69">
        <f t="shared" si="25"/>
        <v>-1</v>
      </c>
      <c r="L132" s="69">
        <f t="shared" si="25"/>
        <v>0</v>
      </c>
      <c r="M132" s="69">
        <f t="shared" si="25"/>
        <v>0</v>
      </c>
      <c r="N132" s="69">
        <f t="shared" si="25"/>
        <v>0</v>
      </c>
      <c r="O132" s="56">
        <f t="shared" si="24"/>
        <v>4</v>
      </c>
    </row>
    <row r="133" spans="1:15" ht="15">
      <c r="A133" s="35">
        <v>118</v>
      </c>
      <c r="B133" s="44" t="s">
        <v>191</v>
      </c>
      <c r="C133" s="69">
        <v>5811</v>
      </c>
      <c r="D133" s="69" t="s">
        <v>132</v>
      </c>
      <c r="E133" s="69">
        <v>42</v>
      </c>
      <c r="F133" s="69">
        <v>50</v>
      </c>
      <c r="G133" s="69">
        <v>26</v>
      </c>
      <c r="H133" s="69">
        <v>11</v>
      </c>
      <c r="I133" s="69">
        <v>3</v>
      </c>
      <c r="J133" s="69">
        <v>1</v>
      </c>
      <c r="K133" s="69">
        <v>91</v>
      </c>
      <c r="L133" s="69">
        <v>30</v>
      </c>
      <c r="M133" s="69">
        <v>2</v>
      </c>
      <c r="N133" s="69">
        <v>20</v>
      </c>
      <c r="O133" s="56">
        <f t="shared" si="24"/>
        <v>276</v>
      </c>
    </row>
    <row r="134" spans="1:15" ht="12.75">
      <c r="A134" s="35"/>
      <c r="B134" s="44"/>
      <c r="C134" s="69">
        <v>5818</v>
      </c>
      <c r="D134" s="69" t="s">
        <v>168</v>
      </c>
      <c r="E134" s="69">
        <v>21</v>
      </c>
      <c r="F134" s="69">
        <v>22</v>
      </c>
      <c r="G134" s="69">
        <v>3</v>
      </c>
      <c r="H134" s="69">
        <v>4</v>
      </c>
      <c r="I134" s="69">
        <v>2</v>
      </c>
      <c r="J134" s="69">
        <v>0</v>
      </c>
      <c r="K134" s="69">
        <v>6</v>
      </c>
      <c r="L134" s="69">
        <v>21</v>
      </c>
      <c r="M134" s="69">
        <v>0</v>
      </c>
      <c r="N134" s="69">
        <v>3</v>
      </c>
      <c r="O134" s="56">
        <f t="shared" si="24"/>
        <v>82</v>
      </c>
    </row>
    <row r="135" spans="1:15" ht="12.75">
      <c r="A135" s="35"/>
      <c r="B135" s="44"/>
      <c r="C135" s="69">
        <v>5819</v>
      </c>
      <c r="D135" s="69" t="s">
        <v>132</v>
      </c>
      <c r="E135" s="69">
        <v>51</v>
      </c>
      <c r="F135" s="69">
        <v>87</v>
      </c>
      <c r="G135" s="69">
        <v>28</v>
      </c>
      <c r="H135" s="69">
        <v>4</v>
      </c>
      <c r="I135" s="69">
        <v>0</v>
      </c>
      <c r="J135" s="69">
        <v>4</v>
      </c>
      <c r="K135" s="69">
        <v>25</v>
      </c>
      <c r="L135" s="69">
        <v>33</v>
      </c>
      <c r="M135" s="69">
        <v>0</v>
      </c>
      <c r="N135" s="69">
        <v>19</v>
      </c>
      <c r="O135" s="56">
        <f t="shared" si="24"/>
        <v>251</v>
      </c>
    </row>
    <row r="136" spans="1:15" ht="12.75">
      <c r="A136" s="35"/>
      <c r="B136" s="77" t="s">
        <v>135</v>
      </c>
      <c r="C136" s="69"/>
      <c r="D136" s="69"/>
      <c r="E136" s="69">
        <f>SUM(E133:E135)</f>
        <v>114</v>
      </c>
      <c r="F136" s="69">
        <f aca="true" t="shared" si="26" ref="F136:N136">SUM(F133:F135)</f>
        <v>159</v>
      </c>
      <c r="G136" s="69">
        <f t="shared" si="26"/>
        <v>57</v>
      </c>
      <c r="H136" s="69">
        <f t="shared" si="26"/>
        <v>19</v>
      </c>
      <c r="I136" s="69">
        <f t="shared" si="26"/>
        <v>5</v>
      </c>
      <c r="J136" s="69">
        <f t="shared" si="26"/>
        <v>5</v>
      </c>
      <c r="K136" s="69">
        <f t="shared" si="26"/>
        <v>122</v>
      </c>
      <c r="L136" s="69">
        <f t="shared" si="26"/>
        <v>84</v>
      </c>
      <c r="M136" s="69">
        <f t="shared" si="26"/>
        <v>2</v>
      </c>
      <c r="N136" s="69">
        <f t="shared" si="26"/>
        <v>42</v>
      </c>
      <c r="O136" s="56">
        <f aca="true" t="shared" si="27" ref="O136:O142">SUM(E136:N136)</f>
        <v>609</v>
      </c>
    </row>
    <row r="137" spans="1:15" ht="15">
      <c r="A137" s="35">
        <v>119</v>
      </c>
      <c r="B137" s="44" t="s">
        <v>143</v>
      </c>
      <c r="C137" s="69">
        <v>5827</v>
      </c>
      <c r="D137" s="69" t="s">
        <v>132</v>
      </c>
      <c r="E137" s="69">
        <v>73</v>
      </c>
      <c r="F137" s="69">
        <v>134</v>
      </c>
      <c r="G137" s="69">
        <v>27</v>
      </c>
      <c r="H137" s="69">
        <v>106</v>
      </c>
      <c r="I137" s="69">
        <v>11</v>
      </c>
      <c r="J137" s="69">
        <v>0</v>
      </c>
      <c r="K137" s="69">
        <v>7</v>
      </c>
      <c r="L137" s="69">
        <v>3</v>
      </c>
      <c r="M137" s="69">
        <v>0</v>
      </c>
      <c r="N137" s="69">
        <v>13</v>
      </c>
      <c r="O137" s="56">
        <f t="shared" si="27"/>
        <v>374</v>
      </c>
    </row>
    <row r="138" spans="1:15" ht="12.75">
      <c r="A138" s="35"/>
      <c r="B138" s="44"/>
      <c r="C138" s="69">
        <v>5834</v>
      </c>
      <c r="D138" s="69" t="s">
        <v>120</v>
      </c>
      <c r="E138" s="69">
        <v>33</v>
      </c>
      <c r="F138" s="69">
        <v>119</v>
      </c>
      <c r="G138" s="69">
        <v>18</v>
      </c>
      <c r="H138" s="69">
        <v>146</v>
      </c>
      <c r="I138" s="69">
        <v>1</v>
      </c>
      <c r="J138" s="69">
        <v>0</v>
      </c>
      <c r="K138" s="69">
        <v>3</v>
      </c>
      <c r="L138" s="69">
        <v>2</v>
      </c>
      <c r="M138" s="69">
        <v>0</v>
      </c>
      <c r="N138" s="69">
        <v>14</v>
      </c>
      <c r="O138" s="56">
        <f t="shared" si="27"/>
        <v>336</v>
      </c>
    </row>
    <row r="139" spans="1:15" ht="12.75">
      <c r="A139" s="35"/>
      <c r="B139" s="86" t="s">
        <v>197</v>
      </c>
      <c r="C139" s="69">
        <v>5836</v>
      </c>
      <c r="D139" s="69" t="s">
        <v>134</v>
      </c>
      <c r="E139" s="69">
        <v>75</v>
      </c>
      <c r="F139" s="69">
        <v>79</v>
      </c>
      <c r="G139" s="69">
        <v>10</v>
      </c>
      <c r="H139" s="69">
        <v>62</v>
      </c>
      <c r="I139" s="69">
        <v>2</v>
      </c>
      <c r="J139" s="69">
        <v>0</v>
      </c>
      <c r="K139" s="69">
        <v>1</v>
      </c>
      <c r="L139" s="69">
        <v>4</v>
      </c>
      <c r="M139" s="69">
        <v>0</v>
      </c>
      <c r="N139" s="69">
        <v>6</v>
      </c>
      <c r="O139" s="56">
        <f t="shared" si="27"/>
        <v>239</v>
      </c>
    </row>
    <row r="140" spans="1:15" ht="12.75">
      <c r="A140" s="35"/>
      <c r="B140" s="44"/>
      <c r="C140" s="69">
        <v>5849</v>
      </c>
      <c r="D140" s="69" t="s">
        <v>133</v>
      </c>
      <c r="E140" s="69">
        <v>71</v>
      </c>
      <c r="F140" s="69">
        <v>84</v>
      </c>
      <c r="G140" s="69">
        <v>22</v>
      </c>
      <c r="H140" s="69">
        <v>96</v>
      </c>
      <c r="I140" s="69">
        <v>8</v>
      </c>
      <c r="J140" s="69">
        <v>0</v>
      </c>
      <c r="K140" s="69">
        <v>7</v>
      </c>
      <c r="L140" s="69">
        <v>6</v>
      </c>
      <c r="M140" s="69">
        <v>0</v>
      </c>
      <c r="N140" s="69">
        <v>10</v>
      </c>
      <c r="O140" s="56">
        <f t="shared" si="27"/>
        <v>304</v>
      </c>
    </row>
    <row r="141" spans="1:15" ht="12.75">
      <c r="A141" s="35"/>
      <c r="B141" s="44"/>
      <c r="C141" s="69">
        <v>5857</v>
      </c>
      <c r="D141" s="69" t="s">
        <v>120</v>
      </c>
      <c r="E141" s="69">
        <v>78</v>
      </c>
      <c r="F141" s="69">
        <v>143</v>
      </c>
      <c r="G141" s="69">
        <v>6</v>
      </c>
      <c r="H141" s="69">
        <v>97</v>
      </c>
      <c r="I141" s="69">
        <v>2</v>
      </c>
      <c r="J141" s="69">
        <v>0</v>
      </c>
      <c r="K141" s="69">
        <v>2</v>
      </c>
      <c r="L141" s="69">
        <v>3</v>
      </c>
      <c r="M141" s="69">
        <v>0</v>
      </c>
      <c r="N141" s="69">
        <v>5</v>
      </c>
      <c r="O141" s="56">
        <f t="shared" si="27"/>
        <v>336</v>
      </c>
    </row>
    <row r="142" spans="1:15" ht="12.75">
      <c r="A142" s="35"/>
      <c r="B142" s="77" t="s">
        <v>135</v>
      </c>
      <c r="C142" s="69"/>
      <c r="D142" s="69"/>
      <c r="E142" s="69">
        <f>SUM(E137:E141)</f>
        <v>330</v>
      </c>
      <c r="F142" s="69">
        <f aca="true" t="shared" si="28" ref="F142:N142">SUM(F137:F141)</f>
        <v>559</v>
      </c>
      <c r="G142" s="69">
        <f t="shared" si="28"/>
        <v>83</v>
      </c>
      <c r="H142" s="69">
        <f t="shared" si="28"/>
        <v>507</v>
      </c>
      <c r="I142" s="69">
        <f t="shared" si="28"/>
        <v>24</v>
      </c>
      <c r="J142" s="69">
        <f t="shared" si="28"/>
        <v>0</v>
      </c>
      <c r="K142" s="69">
        <f t="shared" si="28"/>
        <v>20</v>
      </c>
      <c r="L142" s="69">
        <f t="shared" si="28"/>
        <v>18</v>
      </c>
      <c r="M142" s="69">
        <f t="shared" si="28"/>
        <v>0</v>
      </c>
      <c r="N142" s="69">
        <f t="shared" si="28"/>
        <v>48</v>
      </c>
      <c r="O142" s="56">
        <f t="shared" si="27"/>
        <v>1589</v>
      </c>
    </row>
    <row r="143" spans="1:15" ht="15">
      <c r="A143" s="35">
        <v>123</v>
      </c>
      <c r="B143" s="44" t="s">
        <v>170</v>
      </c>
      <c r="C143" s="69">
        <v>4269</v>
      </c>
      <c r="D143" s="69" t="s">
        <v>132</v>
      </c>
      <c r="E143" s="69">
        <v>18</v>
      </c>
      <c r="F143" s="69">
        <v>36</v>
      </c>
      <c r="G143" s="69">
        <v>42</v>
      </c>
      <c r="H143" s="69">
        <v>3</v>
      </c>
      <c r="I143" s="69">
        <v>29</v>
      </c>
      <c r="J143" s="69">
        <v>0</v>
      </c>
      <c r="K143" s="69">
        <v>0</v>
      </c>
      <c r="L143" s="69">
        <v>3</v>
      </c>
      <c r="M143" s="69">
        <v>0</v>
      </c>
      <c r="N143" s="69">
        <v>4</v>
      </c>
      <c r="O143" s="56">
        <f aca="true" t="shared" si="29" ref="O143:O150">SUM(E143:N143)</f>
        <v>135</v>
      </c>
    </row>
    <row r="144" spans="1:15" ht="12.75">
      <c r="A144" s="80"/>
      <c r="B144" s="44"/>
      <c r="C144" s="81">
        <v>4271</v>
      </c>
      <c r="D144" s="81" t="s">
        <v>181</v>
      </c>
      <c r="E144" s="81">
        <v>9</v>
      </c>
      <c r="F144" s="81">
        <v>41</v>
      </c>
      <c r="G144" s="81">
        <v>55</v>
      </c>
      <c r="H144" s="81">
        <v>3</v>
      </c>
      <c r="I144" s="81">
        <v>0</v>
      </c>
      <c r="J144" s="81">
        <v>0</v>
      </c>
      <c r="K144" s="81">
        <v>0</v>
      </c>
      <c r="L144" s="81">
        <v>0</v>
      </c>
      <c r="M144" s="81">
        <v>0</v>
      </c>
      <c r="N144" s="81">
        <v>3</v>
      </c>
      <c r="O144" s="56">
        <f t="shared" si="29"/>
        <v>111</v>
      </c>
    </row>
    <row r="145" spans="1:15" ht="12.75">
      <c r="A145" s="80"/>
      <c r="B145" s="44"/>
      <c r="C145" s="81">
        <v>4287</v>
      </c>
      <c r="D145" s="81" t="s">
        <v>132</v>
      </c>
      <c r="E145" s="81">
        <v>12</v>
      </c>
      <c r="F145" s="81">
        <v>120</v>
      </c>
      <c r="G145" s="81">
        <v>159</v>
      </c>
      <c r="H145" s="81">
        <v>1</v>
      </c>
      <c r="I145" s="81">
        <v>3</v>
      </c>
      <c r="J145" s="81">
        <v>0</v>
      </c>
      <c r="K145" s="81">
        <v>0</v>
      </c>
      <c r="L145" s="81">
        <v>6</v>
      </c>
      <c r="M145" s="81">
        <v>0</v>
      </c>
      <c r="N145" s="81">
        <v>16</v>
      </c>
      <c r="O145" s="56">
        <f t="shared" si="29"/>
        <v>317</v>
      </c>
    </row>
    <row r="146" spans="1:15" ht="12.75">
      <c r="A146" s="80"/>
      <c r="B146" s="44"/>
      <c r="C146" s="81">
        <v>4288</v>
      </c>
      <c r="D146" s="81" t="s">
        <v>132</v>
      </c>
      <c r="E146" s="81">
        <v>2</v>
      </c>
      <c r="F146" s="81">
        <v>27</v>
      </c>
      <c r="G146" s="81">
        <v>61</v>
      </c>
      <c r="H146" s="81">
        <v>4</v>
      </c>
      <c r="I146" s="81">
        <v>0</v>
      </c>
      <c r="J146" s="81">
        <v>0</v>
      </c>
      <c r="K146" s="81">
        <v>0</v>
      </c>
      <c r="L146" s="81">
        <v>0</v>
      </c>
      <c r="M146" s="81">
        <v>0</v>
      </c>
      <c r="N146" s="81">
        <v>1</v>
      </c>
      <c r="O146" s="56">
        <f t="shared" si="29"/>
        <v>95</v>
      </c>
    </row>
    <row r="147" spans="1:15" ht="12.75">
      <c r="A147" s="80"/>
      <c r="B147" s="44"/>
      <c r="C147" s="81">
        <v>4289</v>
      </c>
      <c r="D147" s="81" t="s">
        <v>132</v>
      </c>
      <c r="E147" s="81">
        <v>14</v>
      </c>
      <c r="F147" s="81">
        <v>58</v>
      </c>
      <c r="G147" s="81">
        <v>89</v>
      </c>
      <c r="H147" s="81">
        <v>3</v>
      </c>
      <c r="I147" s="81">
        <v>2</v>
      </c>
      <c r="J147" s="81">
        <v>0</v>
      </c>
      <c r="K147" s="81">
        <v>0</v>
      </c>
      <c r="L147" s="81">
        <v>1</v>
      </c>
      <c r="M147" s="81">
        <v>0</v>
      </c>
      <c r="N147" s="81">
        <v>5</v>
      </c>
      <c r="O147" s="56">
        <f t="shared" si="29"/>
        <v>172</v>
      </c>
    </row>
    <row r="148" spans="1:15" ht="12.75">
      <c r="A148" s="80"/>
      <c r="B148" s="44"/>
      <c r="C148" s="81">
        <v>4318</v>
      </c>
      <c r="D148" s="81" t="s">
        <v>132</v>
      </c>
      <c r="E148" s="81">
        <v>4</v>
      </c>
      <c r="F148" s="81">
        <v>77</v>
      </c>
      <c r="G148" s="81">
        <v>101</v>
      </c>
      <c r="H148" s="81">
        <v>0</v>
      </c>
      <c r="I148" s="81">
        <v>7</v>
      </c>
      <c r="J148" s="81">
        <v>0</v>
      </c>
      <c r="K148" s="81">
        <v>0</v>
      </c>
      <c r="L148" s="81">
        <v>1</v>
      </c>
      <c r="M148" s="81">
        <v>0</v>
      </c>
      <c r="N148" s="81">
        <v>4</v>
      </c>
      <c r="O148" s="56">
        <f t="shared" si="29"/>
        <v>194</v>
      </c>
    </row>
    <row r="149" spans="1:15" ht="12.75">
      <c r="A149" s="80"/>
      <c r="B149" s="44"/>
      <c r="C149" s="81">
        <v>5930</v>
      </c>
      <c r="D149" s="81" t="s">
        <v>132</v>
      </c>
      <c r="E149" s="81">
        <v>2</v>
      </c>
      <c r="F149" s="81">
        <v>13</v>
      </c>
      <c r="G149" s="81">
        <v>29</v>
      </c>
      <c r="H149" s="81">
        <v>1</v>
      </c>
      <c r="I149" s="81">
        <v>0</v>
      </c>
      <c r="J149" s="81">
        <v>0</v>
      </c>
      <c r="K149" s="81">
        <v>0</v>
      </c>
      <c r="L149" s="81">
        <v>0</v>
      </c>
      <c r="M149" s="81">
        <v>0</v>
      </c>
      <c r="N149" s="81">
        <v>0</v>
      </c>
      <c r="O149" s="56">
        <f t="shared" si="29"/>
        <v>45</v>
      </c>
    </row>
    <row r="150" spans="1:15" ht="12.75">
      <c r="A150" s="71"/>
      <c r="B150" s="87" t="s">
        <v>135</v>
      </c>
      <c r="C150" s="88"/>
      <c r="D150" s="72"/>
      <c r="E150" s="72">
        <f>SUM(E143:E149)</f>
        <v>61</v>
      </c>
      <c r="F150" s="72">
        <f aca="true" t="shared" si="30" ref="F150:N150">SUM(F143:F149)</f>
        <v>372</v>
      </c>
      <c r="G150" s="72">
        <f t="shared" si="30"/>
        <v>536</v>
      </c>
      <c r="H150" s="72">
        <f t="shared" si="30"/>
        <v>15</v>
      </c>
      <c r="I150" s="72">
        <f t="shared" si="30"/>
        <v>41</v>
      </c>
      <c r="J150" s="72">
        <f t="shared" si="30"/>
        <v>0</v>
      </c>
      <c r="K150" s="72">
        <f t="shared" si="30"/>
        <v>0</v>
      </c>
      <c r="L150" s="72">
        <f t="shared" si="30"/>
        <v>11</v>
      </c>
      <c r="M150" s="72">
        <f t="shared" si="30"/>
        <v>0</v>
      </c>
      <c r="N150" s="72">
        <f t="shared" si="30"/>
        <v>33</v>
      </c>
      <c r="O150" s="89">
        <f t="shared" si="29"/>
        <v>1069</v>
      </c>
    </row>
    <row r="151" ht="12.75">
      <c r="B151" s="83"/>
    </row>
    <row r="152" ht="13.5">
      <c r="B152" s="57" t="s">
        <v>119</v>
      </c>
    </row>
    <row r="153" ht="13.5">
      <c r="B153" s="57" t="s">
        <v>208</v>
      </c>
    </row>
  </sheetData>
  <mergeCells count="1">
    <mergeCell ref="A6:B6"/>
  </mergeCells>
  <printOptions/>
  <pageMargins left="0.7874015748031497" right="0.7874015748031497" top="0.9055118110236221" bottom="0.9055118110236221" header="0.3937007874015748" footer="0.3937007874015748"/>
  <pageSetup fitToHeight="0" fitToWidth="1" horizontalDpi="600" verticalDpi="600" orientation="landscape" scale="80" r:id="rId2"/>
  <headerFooter alignWithMargins="0">
    <oddFooter>&amp;CPágina &amp;P de &amp;N</oddFooter>
  </headerFooter>
  <rowBreaks count="2" manualBreakCount="2">
    <brk id="42" max="255" man="1"/>
    <brk id="11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workbookViewId="0" topLeftCell="A4">
      <pane xSplit="2" ySplit="3" topLeftCell="J7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C43" sqref="C43"/>
    </sheetView>
  </sheetViews>
  <sheetFormatPr defaultColWidth="11.421875" defaultRowHeight="12.75"/>
  <cols>
    <col min="1" max="1" width="3.7109375" style="0" customWidth="1"/>
    <col min="2" max="2" width="39.421875" style="0" customWidth="1"/>
    <col min="3" max="4" width="7.421875" style="0" customWidth="1"/>
    <col min="5" max="15" width="9.7109375" style="0" customWidth="1"/>
  </cols>
  <sheetData>
    <row r="1" spans="1:15" ht="15.75">
      <c r="A1" t="s">
        <v>0</v>
      </c>
      <c r="D1" s="1" t="s">
        <v>1</v>
      </c>
      <c r="E1" s="1"/>
      <c r="O1" s="2"/>
    </row>
    <row r="2" spans="4:15" ht="15">
      <c r="D2" s="5" t="s">
        <v>2</v>
      </c>
      <c r="E2" s="4"/>
      <c r="O2" s="2"/>
    </row>
    <row r="3" spans="4:15" ht="15">
      <c r="D3" s="4" t="s">
        <v>118</v>
      </c>
      <c r="E3" s="6"/>
      <c r="O3" s="2"/>
    </row>
    <row r="4" spans="1:15" ht="20.25">
      <c r="A4" s="7"/>
      <c r="B4" s="8"/>
      <c r="C4" s="92" t="s">
        <v>223</v>
      </c>
      <c r="D4" s="8"/>
      <c r="E4" s="7"/>
      <c r="F4" s="7"/>
      <c r="G4" s="9"/>
      <c r="H4" s="9"/>
      <c r="I4" s="8"/>
      <c r="J4" s="8"/>
      <c r="K4" s="8"/>
      <c r="L4" s="8"/>
      <c r="M4" s="8"/>
      <c r="N4" s="8"/>
      <c r="O4" s="10"/>
    </row>
    <row r="5" spans="1:15" ht="39">
      <c r="A5" s="11" t="s">
        <v>34</v>
      </c>
      <c r="B5" s="12"/>
      <c r="C5" s="47" t="s">
        <v>113</v>
      </c>
      <c r="D5" s="47" t="s">
        <v>114</v>
      </c>
      <c r="E5" s="13" t="s">
        <v>3</v>
      </c>
      <c r="F5" s="48" t="s">
        <v>115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48" t="s">
        <v>12</v>
      </c>
      <c r="O5" s="49" t="s">
        <v>13</v>
      </c>
    </row>
    <row r="6" spans="1:15" ht="12.75">
      <c r="A6" s="113" t="s">
        <v>116</v>
      </c>
      <c r="B6" s="114"/>
      <c r="C6" s="50"/>
      <c r="D6" s="50"/>
      <c r="E6" s="98">
        <f>E9+E10+E16+E81+E84+E87+E90+E95+E102</f>
        <v>-3554</v>
      </c>
      <c r="F6" s="98">
        <f aca="true" t="shared" si="0" ref="F6:O6">F9+F10+F16+F81+F84+F87+F90+F95+F102</f>
        <v>-4574</v>
      </c>
      <c r="G6" s="98">
        <f t="shared" si="0"/>
        <v>-3427</v>
      </c>
      <c r="H6" s="98">
        <f t="shared" si="0"/>
        <v>-299</v>
      </c>
      <c r="I6" s="98">
        <f t="shared" si="0"/>
        <v>-56</v>
      </c>
      <c r="J6" s="98">
        <f t="shared" si="0"/>
        <v>-98</v>
      </c>
      <c r="K6" s="98">
        <f t="shared" si="0"/>
        <v>24</v>
      </c>
      <c r="L6" s="98">
        <f t="shared" si="0"/>
        <v>-165</v>
      </c>
      <c r="M6" s="98">
        <f t="shared" si="0"/>
        <v>2</v>
      </c>
      <c r="N6" s="98">
        <f t="shared" si="0"/>
        <v>-241</v>
      </c>
      <c r="O6" s="98">
        <f t="shared" si="0"/>
        <v>-12388</v>
      </c>
    </row>
    <row r="7" spans="1:15" ht="15">
      <c r="A7" s="25">
        <v>19</v>
      </c>
      <c r="B7" s="26" t="s">
        <v>212</v>
      </c>
      <c r="C7" s="99">
        <v>511</v>
      </c>
      <c r="D7" s="100" t="s">
        <v>132</v>
      </c>
      <c r="E7" s="100">
        <v>20</v>
      </c>
      <c r="F7" s="100">
        <v>104</v>
      </c>
      <c r="G7" s="100">
        <v>92</v>
      </c>
      <c r="H7" s="100">
        <v>0</v>
      </c>
      <c r="I7" s="100">
        <v>12</v>
      </c>
      <c r="J7" s="100">
        <v>1</v>
      </c>
      <c r="K7" s="100">
        <v>0</v>
      </c>
      <c r="L7" s="100">
        <v>0</v>
      </c>
      <c r="M7" s="100">
        <v>0</v>
      </c>
      <c r="N7" s="100">
        <v>4</v>
      </c>
      <c r="O7" s="58">
        <f>SUM(E7:N7)</f>
        <v>233</v>
      </c>
    </row>
    <row r="8" spans="1:15" ht="12.75">
      <c r="A8" s="35"/>
      <c r="B8" s="36"/>
      <c r="C8" s="85">
        <v>511</v>
      </c>
      <c r="D8" s="69" t="s">
        <v>134</v>
      </c>
      <c r="E8" s="69">
        <v>13</v>
      </c>
      <c r="F8" s="69">
        <v>73</v>
      </c>
      <c r="G8" s="69">
        <v>95</v>
      </c>
      <c r="H8" s="69">
        <v>2</v>
      </c>
      <c r="I8" s="69">
        <v>17</v>
      </c>
      <c r="J8" s="69">
        <v>1</v>
      </c>
      <c r="K8" s="69">
        <v>0</v>
      </c>
      <c r="L8" s="69">
        <v>2</v>
      </c>
      <c r="M8" s="69">
        <v>0</v>
      </c>
      <c r="N8" s="69">
        <v>7</v>
      </c>
      <c r="O8" s="56">
        <f>SUM(E8:N8)</f>
        <v>210</v>
      </c>
    </row>
    <row r="9" spans="1:15" ht="12.75">
      <c r="A9" s="35"/>
      <c r="B9" s="94" t="s">
        <v>135</v>
      </c>
      <c r="C9" s="85"/>
      <c r="D9" s="69"/>
      <c r="E9" s="69">
        <f>-SUM(E7:E8)</f>
        <v>-33</v>
      </c>
      <c r="F9" s="69">
        <f aca="true" t="shared" si="1" ref="F9:O9">-SUM(F7:F8)</f>
        <v>-177</v>
      </c>
      <c r="G9" s="69">
        <f t="shared" si="1"/>
        <v>-187</v>
      </c>
      <c r="H9" s="69">
        <f t="shared" si="1"/>
        <v>-2</v>
      </c>
      <c r="I9" s="69">
        <f t="shared" si="1"/>
        <v>-29</v>
      </c>
      <c r="J9" s="69">
        <f t="shared" si="1"/>
        <v>-2</v>
      </c>
      <c r="K9" s="69">
        <f t="shared" si="1"/>
        <v>0</v>
      </c>
      <c r="L9" s="69">
        <f t="shared" si="1"/>
        <v>-2</v>
      </c>
      <c r="M9" s="69">
        <f t="shared" si="1"/>
        <v>0</v>
      </c>
      <c r="N9" s="69">
        <f t="shared" si="1"/>
        <v>-11</v>
      </c>
      <c r="O9" s="56">
        <f t="shared" si="1"/>
        <v>-443</v>
      </c>
    </row>
    <row r="10" spans="1:15" ht="15">
      <c r="A10" s="35">
        <v>20</v>
      </c>
      <c r="B10" s="36" t="s">
        <v>211</v>
      </c>
      <c r="C10" s="85">
        <v>560</v>
      </c>
      <c r="D10" s="69" t="s">
        <v>120</v>
      </c>
      <c r="E10" s="69">
        <v>180</v>
      </c>
      <c r="F10" s="69">
        <v>119</v>
      </c>
      <c r="G10" s="69">
        <v>47</v>
      </c>
      <c r="H10" s="69">
        <v>7</v>
      </c>
      <c r="I10" s="69">
        <v>2</v>
      </c>
      <c r="J10" s="69">
        <v>2</v>
      </c>
      <c r="K10" s="69">
        <v>3</v>
      </c>
      <c r="L10" s="69">
        <v>0</v>
      </c>
      <c r="M10" s="69">
        <v>0</v>
      </c>
      <c r="N10" s="69">
        <v>11</v>
      </c>
      <c r="O10" s="56">
        <f>SUM(E10:N10)</f>
        <v>371</v>
      </c>
    </row>
    <row r="11" spans="1:15" ht="15">
      <c r="A11" s="35">
        <v>26</v>
      </c>
      <c r="B11" s="36" t="s">
        <v>213</v>
      </c>
      <c r="C11" s="85">
        <v>1070</v>
      </c>
      <c r="D11" s="69" t="s">
        <v>132</v>
      </c>
      <c r="E11" s="69">
        <v>97</v>
      </c>
      <c r="F11" s="69">
        <v>77</v>
      </c>
      <c r="G11" s="69">
        <v>96</v>
      </c>
      <c r="H11" s="69">
        <v>2</v>
      </c>
      <c r="I11" s="69">
        <v>1</v>
      </c>
      <c r="J11" s="69">
        <v>0</v>
      </c>
      <c r="K11" s="69">
        <v>1</v>
      </c>
      <c r="L11" s="69">
        <v>0</v>
      </c>
      <c r="M11" s="69">
        <v>0</v>
      </c>
      <c r="N11" s="69">
        <v>10</v>
      </c>
      <c r="O11" s="56">
        <f aca="true" t="shared" si="2" ref="O11:O24">SUM(E11:N11)</f>
        <v>284</v>
      </c>
    </row>
    <row r="12" spans="1:15" ht="12.75">
      <c r="A12" s="35"/>
      <c r="B12" s="36"/>
      <c r="C12" s="85">
        <v>937</v>
      </c>
      <c r="D12" s="69" t="s">
        <v>160</v>
      </c>
      <c r="E12" s="69">
        <v>21</v>
      </c>
      <c r="F12" s="69">
        <v>125</v>
      </c>
      <c r="G12" s="69">
        <v>92</v>
      </c>
      <c r="H12" s="69">
        <v>2</v>
      </c>
      <c r="I12" s="69">
        <v>2</v>
      </c>
      <c r="J12" s="69">
        <v>0</v>
      </c>
      <c r="K12" s="69">
        <v>1</v>
      </c>
      <c r="L12" s="69">
        <v>1</v>
      </c>
      <c r="M12" s="69">
        <v>0</v>
      </c>
      <c r="N12" s="69">
        <v>4</v>
      </c>
      <c r="O12" s="56">
        <f t="shared" si="2"/>
        <v>248</v>
      </c>
    </row>
    <row r="13" spans="1:15" ht="12.75">
      <c r="A13" s="35"/>
      <c r="B13" s="36"/>
      <c r="C13" s="85">
        <v>1073</v>
      </c>
      <c r="D13" s="69" t="s">
        <v>134</v>
      </c>
      <c r="E13" s="69">
        <v>71</v>
      </c>
      <c r="F13" s="69">
        <v>110</v>
      </c>
      <c r="G13" s="69">
        <v>97</v>
      </c>
      <c r="H13" s="69">
        <v>5</v>
      </c>
      <c r="I13" s="69">
        <v>2</v>
      </c>
      <c r="J13" s="69">
        <v>0</v>
      </c>
      <c r="K13" s="69">
        <v>3</v>
      </c>
      <c r="L13" s="69">
        <v>2</v>
      </c>
      <c r="M13" s="69">
        <v>0</v>
      </c>
      <c r="N13" s="69">
        <v>10</v>
      </c>
      <c r="O13" s="56">
        <f t="shared" si="2"/>
        <v>300</v>
      </c>
    </row>
    <row r="14" spans="1:15" ht="12.75">
      <c r="A14" s="35"/>
      <c r="B14" s="95" t="s">
        <v>210</v>
      </c>
      <c r="C14" s="85">
        <v>1071</v>
      </c>
      <c r="D14" s="69" t="s">
        <v>132</v>
      </c>
      <c r="E14" s="69">
        <v>-3</v>
      </c>
      <c r="F14" s="69">
        <v>0</v>
      </c>
      <c r="G14" s="69">
        <v>1</v>
      </c>
      <c r="H14" s="69">
        <v>0</v>
      </c>
      <c r="I14" s="69">
        <v>0</v>
      </c>
      <c r="J14" s="69">
        <v>-1</v>
      </c>
      <c r="K14" s="69">
        <v>0</v>
      </c>
      <c r="L14" s="69">
        <v>0</v>
      </c>
      <c r="M14" s="69">
        <v>0</v>
      </c>
      <c r="N14" s="69">
        <v>1</v>
      </c>
      <c r="O14" s="56">
        <f>SUM(E14:N14)-J14</f>
        <v>-1</v>
      </c>
    </row>
    <row r="15" spans="1:15" ht="12.75">
      <c r="A15" s="35"/>
      <c r="B15" s="95" t="s">
        <v>210</v>
      </c>
      <c r="C15" s="85">
        <v>1072</v>
      </c>
      <c r="D15" s="69" t="s">
        <v>120</v>
      </c>
      <c r="E15" s="69">
        <v>0</v>
      </c>
      <c r="F15" s="69">
        <v>-1</v>
      </c>
      <c r="G15" s="69">
        <v>-1</v>
      </c>
      <c r="H15" s="69">
        <v>0</v>
      </c>
      <c r="I15" s="69">
        <v>-1</v>
      </c>
      <c r="J15" s="69">
        <v>-2</v>
      </c>
      <c r="K15" s="69">
        <v>1</v>
      </c>
      <c r="L15" s="69">
        <v>0</v>
      </c>
      <c r="M15" s="69">
        <v>0</v>
      </c>
      <c r="N15" s="69">
        <v>0</v>
      </c>
      <c r="O15" s="56">
        <f>SUM(E15:N15)-J15</f>
        <v>-2</v>
      </c>
    </row>
    <row r="16" spans="1:15" ht="12.75">
      <c r="A16" s="35"/>
      <c r="B16" s="94" t="s">
        <v>135</v>
      </c>
      <c r="C16" s="85"/>
      <c r="D16" s="69"/>
      <c r="E16" s="69">
        <f>E11-SUM(E12:E13)+E14+E15</f>
        <v>2</v>
      </c>
      <c r="F16" s="69">
        <f aca="true" t="shared" si="3" ref="F16:N16">F11-SUM(F12:F13)+F14+F15</f>
        <v>-159</v>
      </c>
      <c r="G16" s="69">
        <f t="shared" si="3"/>
        <v>-93</v>
      </c>
      <c r="H16" s="69">
        <f t="shared" si="3"/>
        <v>-5</v>
      </c>
      <c r="I16" s="69">
        <f t="shared" si="3"/>
        <v>-4</v>
      </c>
      <c r="J16" s="69">
        <v>0</v>
      </c>
      <c r="K16" s="69">
        <f t="shared" si="3"/>
        <v>-2</v>
      </c>
      <c r="L16" s="69">
        <f t="shared" si="3"/>
        <v>-3</v>
      </c>
      <c r="M16" s="69">
        <f t="shared" si="3"/>
        <v>0</v>
      </c>
      <c r="N16" s="69">
        <f t="shared" si="3"/>
        <v>-3</v>
      </c>
      <c r="O16" s="56">
        <f t="shared" si="2"/>
        <v>-267</v>
      </c>
    </row>
    <row r="17" spans="1:15" ht="12.75">
      <c r="A17" s="35">
        <v>34</v>
      </c>
      <c r="B17" s="36" t="s">
        <v>31</v>
      </c>
      <c r="C17" s="85">
        <v>1303</v>
      </c>
      <c r="D17" s="69" t="s">
        <v>132</v>
      </c>
      <c r="E17" s="69">
        <v>48</v>
      </c>
      <c r="F17" s="69">
        <v>73</v>
      </c>
      <c r="G17" s="69">
        <v>61</v>
      </c>
      <c r="H17" s="69">
        <v>4</v>
      </c>
      <c r="I17" s="69">
        <v>0</v>
      </c>
      <c r="J17" s="69">
        <v>2</v>
      </c>
      <c r="K17" s="69">
        <v>2</v>
      </c>
      <c r="L17" s="69">
        <v>0</v>
      </c>
      <c r="M17" s="69">
        <v>0</v>
      </c>
      <c r="N17" s="69">
        <v>7</v>
      </c>
      <c r="O17" s="56">
        <f t="shared" si="2"/>
        <v>197</v>
      </c>
    </row>
    <row r="18" spans="1:15" ht="12.75">
      <c r="A18" s="35"/>
      <c r="B18" s="36"/>
      <c r="C18" s="85">
        <v>1303</v>
      </c>
      <c r="D18" s="69" t="s">
        <v>120</v>
      </c>
      <c r="E18" s="69">
        <v>39</v>
      </c>
      <c r="F18" s="69">
        <v>72</v>
      </c>
      <c r="G18" s="69">
        <v>79</v>
      </c>
      <c r="H18" s="69">
        <v>4</v>
      </c>
      <c r="I18" s="69">
        <v>1</v>
      </c>
      <c r="J18" s="69">
        <v>0</v>
      </c>
      <c r="K18" s="69">
        <v>0</v>
      </c>
      <c r="L18" s="69">
        <v>0</v>
      </c>
      <c r="M18" s="69">
        <v>0</v>
      </c>
      <c r="N18" s="69">
        <v>4</v>
      </c>
      <c r="O18" s="56">
        <f t="shared" si="2"/>
        <v>199</v>
      </c>
    </row>
    <row r="19" spans="1:15" ht="12.75">
      <c r="A19" s="35"/>
      <c r="B19" s="36"/>
      <c r="C19" s="85">
        <v>1328</v>
      </c>
      <c r="D19" s="69" t="s">
        <v>132</v>
      </c>
      <c r="E19" s="69">
        <v>59</v>
      </c>
      <c r="F19" s="69">
        <v>70</v>
      </c>
      <c r="G19" s="69">
        <v>81</v>
      </c>
      <c r="H19" s="69">
        <v>4</v>
      </c>
      <c r="I19" s="69">
        <v>0</v>
      </c>
      <c r="J19" s="69">
        <v>2</v>
      </c>
      <c r="K19" s="69">
        <v>2</v>
      </c>
      <c r="L19" s="69">
        <v>4</v>
      </c>
      <c r="M19" s="69">
        <v>0</v>
      </c>
      <c r="N19" s="69">
        <v>5</v>
      </c>
      <c r="O19" s="56">
        <f t="shared" si="2"/>
        <v>227</v>
      </c>
    </row>
    <row r="20" spans="1:15" ht="12.75">
      <c r="A20" s="35"/>
      <c r="B20" s="36"/>
      <c r="C20" s="85">
        <v>1328</v>
      </c>
      <c r="D20" s="69" t="s">
        <v>134</v>
      </c>
      <c r="E20" s="69">
        <v>54</v>
      </c>
      <c r="F20" s="69">
        <v>62</v>
      </c>
      <c r="G20" s="69">
        <v>64</v>
      </c>
      <c r="H20" s="69">
        <v>6</v>
      </c>
      <c r="I20" s="69">
        <v>0</v>
      </c>
      <c r="J20" s="69">
        <v>0</v>
      </c>
      <c r="K20" s="69">
        <v>1</v>
      </c>
      <c r="L20" s="69">
        <v>0</v>
      </c>
      <c r="M20" s="69">
        <v>0</v>
      </c>
      <c r="N20" s="69">
        <v>9</v>
      </c>
      <c r="O20" s="56">
        <f t="shared" si="2"/>
        <v>196</v>
      </c>
    </row>
    <row r="21" spans="1:15" ht="12.75">
      <c r="A21" s="35"/>
      <c r="B21" s="36"/>
      <c r="C21" s="85">
        <v>1331</v>
      </c>
      <c r="D21" s="69" t="s">
        <v>120</v>
      </c>
      <c r="E21" s="69">
        <v>110</v>
      </c>
      <c r="F21" s="69">
        <v>98</v>
      </c>
      <c r="G21" s="69">
        <v>88</v>
      </c>
      <c r="H21" s="69">
        <v>4</v>
      </c>
      <c r="I21" s="69">
        <v>1</v>
      </c>
      <c r="J21" s="69">
        <v>5</v>
      </c>
      <c r="K21" s="69">
        <v>1</v>
      </c>
      <c r="L21" s="69">
        <v>4</v>
      </c>
      <c r="M21" s="69">
        <v>0</v>
      </c>
      <c r="N21" s="69">
        <v>2</v>
      </c>
      <c r="O21" s="56">
        <f t="shared" si="2"/>
        <v>313</v>
      </c>
    </row>
    <row r="22" spans="1:15" ht="12.75">
      <c r="A22" s="35"/>
      <c r="B22" s="36"/>
      <c r="C22" s="85">
        <v>1335</v>
      </c>
      <c r="D22" s="69" t="s">
        <v>120</v>
      </c>
      <c r="E22" s="69">
        <v>112</v>
      </c>
      <c r="F22" s="69">
        <v>112</v>
      </c>
      <c r="G22" s="69">
        <v>62</v>
      </c>
      <c r="H22" s="69">
        <v>5</v>
      </c>
      <c r="I22" s="69">
        <v>2</v>
      </c>
      <c r="J22" s="69">
        <v>5</v>
      </c>
      <c r="K22" s="69">
        <v>0</v>
      </c>
      <c r="L22" s="69">
        <v>1</v>
      </c>
      <c r="M22" s="69">
        <v>0</v>
      </c>
      <c r="N22" s="69">
        <v>6</v>
      </c>
      <c r="O22" s="56">
        <f t="shared" si="2"/>
        <v>305</v>
      </c>
    </row>
    <row r="23" spans="1:15" ht="12.75">
      <c r="A23" s="35"/>
      <c r="B23" s="77"/>
      <c r="C23" s="85">
        <v>1345</v>
      </c>
      <c r="D23" s="69" t="s">
        <v>134</v>
      </c>
      <c r="E23" s="69">
        <v>103</v>
      </c>
      <c r="F23" s="69">
        <v>73</v>
      </c>
      <c r="G23" s="69">
        <v>87</v>
      </c>
      <c r="H23" s="69">
        <v>2</v>
      </c>
      <c r="I23" s="69">
        <v>1</v>
      </c>
      <c r="J23" s="69">
        <v>2</v>
      </c>
      <c r="K23" s="69">
        <v>8</v>
      </c>
      <c r="L23" s="69">
        <v>5</v>
      </c>
      <c r="M23" s="69">
        <v>0</v>
      </c>
      <c r="N23" s="69">
        <v>1</v>
      </c>
      <c r="O23" s="56">
        <f t="shared" si="2"/>
        <v>282</v>
      </c>
    </row>
    <row r="24" spans="1:15" ht="12.75">
      <c r="A24" s="35"/>
      <c r="B24" s="36"/>
      <c r="C24" s="85">
        <v>1356</v>
      </c>
      <c r="D24" s="69" t="s">
        <v>132</v>
      </c>
      <c r="E24" s="74">
        <v>71</v>
      </c>
      <c r="F24" s="69">
        <v>70</v>
      </c>
      <c r="G24" s="69">
        <v>47</v>
      </c>
      <c r="H24" s="74">
        <v>3</v>
      </c>
      <c r="I24" s="69">
        <v>0</v>
      </c>
      <c r="J24" s="69">
        <v>0</v>
      </c>
      <c r="K24" s="69">
        <v>0</v>
      </c>
      <c r="L24" s="69">
        <v>4</v>
      </c>
      <c r="M24" s="69">
        <v>0</v>
      </c>
      <c r="N24" s="69">
        <v>5</v>
      </c>
      <c r="O24" s="56">
        <f t="shared" si="2"/>
        <v>200</v>
      </c>
    </row>
    <row r="25" spans="1:15" ht="12.75">
      <c r="A25" s="35"/>
      <c r="B25" s="36"/>
      <c r="C25" s="85">
        <v>1369</v>
      </c>
      <c r="D25" s="69" t="s">
        <v>132</v>
      </c>
      <c r="E25" s="69">
        <v>73</v>
      </c>
      <c r="F25" s="69">
        <v>52</v>
      </c>
      <c r="G25" s="69">
        <v>60</v>
      </c>
      <c r="H25" s="69">
        <v>2</v>
      </c>
      <c r="I25" s="69">
        <v>2</v>
      </c>
      <c r="J25" s="69">
        <v>3</v>
      </c>
      <c r="K25" s="69">
        <v>1</v>
      </c>
      <c r="L25" s="69">
        <v>2</v>
      </c>
      <c r="M25" s="69">
        <v>0</v>
      </c>
      <c r="N25" s="69">
        <v>2</v>
      </c>
      <c r="O25" s="56">
        <f aca="true" t="shared" si="4" ref="O25:O35">SUM(E25:N25)</f>
        <v>197</v>
      </c>
    </row>
    <row r="26" spans="1:15" ht="12.75">
      <c r="A26" s="35"/>
      <c r="B26" s="36"/>
      <c r="C26" s="85">
        <v>1370</v>
      </c>
      <c r="D26" s="69" t="s">
        <v>134</v>
      </c>
      <c r="E26" s="69">
        <v>87</v>
      </c>
      <c r="F26" s="69">
        <v>55</v>
      </c>
      <c r="G26" s="69">
        <v>72</v>
      </c>
      <c r="H26" s="69">
        <v>3</v>
      </c>
      <c r="I26" s="69">
        <v>1</v>
      </c>
      <c r="J26" s="69">
        <v>0</v>
      </c>
      <c r="K26" s="69">
        <v>0</v>
      </c>
      <c r="L26" s="69">
        <v>2</v>
      </c>
      <c r="M26" s="69">
        <v>0</v>
      </c>
      <c r="N26" s="69">
        <v>4</v>
      </c>
      <c r="O26" s="56">
        <f t="shared" si="4"/>
        <v>224</v>
      </c>
    </row>
    <row r="27" spans="1:15" ht="12.75">
      <c r="A27" s="35"/>
      <c r="B27" s="36"/>
      <c r="C27" s="85">
        <v>1371</v>
      </c>
      <c r="D27" s="69" t="s">
        <v>134</v>
      </c>
      <c r="E27" s="69">
        <v>73</v>
      </c>
      <c r="F27" s="69">
        <v>47</v>
      </c>
      <c r="G27" s="69">
        <v>51</v>
      </c>
      <c r="H27" s="69">
        <v>9</v>
      </c>
      <c r="I27" s="69">
        <v>0</v>
      </c>
      <c r="J27" s="69">
        <v>1</v>
      </c>
      <c r="K27" s="69">
        <v>1</v>
      </c>
      <c r="L27" s="69">
        <v>0</v>
      </c>
      <c r="M27" s="69">
        <v>0</v>
      </c>
      <c r="N27" s="69">
        <v>2</v>
      </c>
      <c r="O27" s="56">
        <f t="shared" si="4"/>
        <v>184</v>
      </c>
    </row>
    <row r="28" spans="1:15" ht="12.75">
      <c r="A28" s="35"/>
      <c r="B28" s="36"/>
      <c r="C28" s="85">
        <v>1383</v>
      </c>
      <c r="D28" s="69" t="s">
        <v>132</v>
      </c>
      <c r="E28" s="69">
        <v>20</v>
      </c>
      <c r="F28" s="74">
        <v>104</v>
      </c>
      <c r="G28" s="69">
        <v>60</v>
      </c>
      <c r="H28" s="69">
        <v>2</v>
      </c>
      <c r="I28" s="69">
        <v>1</v>
      </c>
      <c r="J28" s="69">
        <v>1</v>
      </c>
      <c r="K28" s="69">
        <v>0</v>
      </c>
      <c r="L28" s="69">
        <v>1</v>
      </c>
      <c r="M28" s="69">
        <v>0</v>
      </c>
      <c r="N28" s="69">
        <v>10</v>
      </c>
      <c r="O28" s="56">
        <f t="shared" si="4"/>
        <v>199</v>
      </c>
    </row>
    <row r="29" spans="1:15" ht="12.75">
      <c r="A29" s="35"/>
      <c r="B29" s="36"/>
      <c r="C29" s="85">
        <v>1383</v>
      </c>
      <c r="D29" s="69" t="s">
        <v>120</v>
      </c>
      <c r="E29" s="69">
        <v>35</v>
      </c>
      <c r="F29" s="69">
        <v>82</v>
      </c>
      <c r="G29" s="69">
        <v>53</v>
      </c>
      <c r="H29" s="69">
        <v>6</v>
      </c>
      <c r="I29" s="69">
        <v>0</v>
      </c>
      <c r="J29" s="69">
        <v>1</v>
      </c>
      <c r="K29" s="69">
        <v>0</v>
      </c>
      <c r="L29" s="69">
        <v>0</v>
      </c>
      <c r="M29" s="69">
        <v>0</v>
      </c>
      <c r="N29" s="69">
        <v>5</v>
      </c>
      <c r="O29" s="56">
        <f t="shared" si="4"/>
        <v>182</v>
      </c>
    </row>
    <row r="30" spans="1:15" ht="12.75">
      <c r="A30" s="35"/>
      <c r="B30" s="36"/>
      <c r="C30" s="85">
        <v>1383</v>
      </c>
      <c r="D30" s="69" t="s">
        <v>133</v>
      </c>
      <c r="E30" s="69">
        <v>27</v>
      </c>
      <c r="F30" s="69">
        <v>86</v>
      </c>
      <c r="G30" s="69">
        <v>58</v>
      </c>
      <c r="H30" s="69">
        <v>5</v>
      </c>
      <c r="I30" s="69">
        <v>2</v>
      </c>
      <c r="J30" s="69">
        <v>0</v>
      </c>
      <c r="K30" s="69">
        <v>1</v>
      </c>
      <c r="L30" s="69">
        <v>0</v>
      </c>
      <c r="M30" s="69">
        <v>0</v>
      </c>
      <c r="N30" s="69">
        <v>10</v>
      </c>
      <c r="O30" s="56">
        <f t="shared" si="4"/>
        <v>189</v>
      </c>
    </row>
    <row r="31" spans="1:15" ht="12.75">
      <c r="A31" s="35"/>
      <c r="B31" s="36"/>
      <c r="C31" s="85">
        <v>1389</v>
      </c>
      <c r="D31" s="69" t="s">
        <v>134</v>
      </c>
      <c r="E31" s="69">
        <v>59</v>
      </c>
      <c r="F31" s="69">
        <v>109</v>
      </c>
      <c r="G31" s="69">
        <v>48</v>
      </c>
      <c r="H31" s="69">
        <v>2</v>
      </c>
      <c r="I31" s="69">
        <v>1</v>
      </c>
      <c r="J31" s="69">
        <v>0</v>
      </c>
      <c r="K31" s="69">
        <v>0</v>
      </c>
      <c r="L31" s="69">
        <v>1</v>
      </c>
      <c r="M31" s="69">
        <v>0</v>
      </c>
      <c r="N31" s="69">
        <v>3</v>
      </c>
      <c r="O31" s="56">
        <f t="shared" si="4"/>
        <v>223</v>
      </c>
    </row>
    <row r="32" spans="1:15" ht="12.75">
      <c r="A32" s="35"/>
      <c r="B32" s="36"/>
      <c r="C32" s="85">
        <v>1395</v>
      </c>
      <c r="D32" s="69" t="s">
        <v>120</v>
      </c>
      <c r="E32" s="69">
        <v>41</v>
      </c>
      <c r="F32" s="69">
        <v>110</v>
      </c>
      <c r="G32" s="69">
        <v>38</v>
      </c>
      <c r="H32" s="69">
        <v>7</v>
      </c>
      <c r="I32" s="69">
        <v>4</v>
      </c>
      <c r="J32" s="69">
        <v>0</v>
      </c>
      <c r="K32" s="69">
        <v>1</v>
      </c>
      <c r="L32" s="69">
        <v>0</v>
      </c>
      <c r="M32" s="69">
        <v>0</v>
      </c>
      <c r="N32" s="69">
        <v>5</v>
      </c>
      <c r="O32" s="56">
        <f t="shared" si="4"/>
        <v>206</v>
      </c>
    </row>
    <row r="33" spans="1:15" ht="12.75">
      <c r="A33" s="35"/>
      <c r="B33" s="36"/>
      <c r="C33" s="85">
        <v>1396</v>
      </c>
      <c r="D33" s="69" t="s">
        <v>132</v>
      </c>
      <c r="E33" s="69">
        <v>42</v>
      </c>
      <c r="F33" s="69">
        <v>103</v>
      </c>
      <c r="G33" s="69">
        <v>55</v>
      </c>
      <c r="H33" s="69">
        <v>2</v>
      </c>
      <c r="I33" s="69">
        <v>1</v>
      </c>
      <c r="J33" s="69">
        <v>0</v>
      </c>
      <c r="K33" s="69">
        <v>1</v>
      </c>
      <c r="L33" s="69">
        <v>0</v>
      </c>
      <c r="M33" s="69">
        <v>0</v>
      </c>
      <c r="N33" s="69">
        <v>4</v>
      </c>
      <c r="O33" s="56">
        <f t="shared" si="4"/>
        <v>208</v>
      </c>
    </row>
    <row r="34" spans="1:15" ht="12.75">
      <c r="A34" s="35"/>
      <c r="B34" s="36"/>
      <c r="C34" s="85">
        <v>1397</v>
      </c>
      <c r="D34" s="69" t="s">
        <v>120</v>
      </c>
      <c r="E34" s="69">
        <v>80</v>
      </c>
      <c r="F34" s="69">
        <v>69</v>
      </c>
      <c r="G34" s="69">
        <v>46</v>
      </c>
      <c r="H34" s="69">
        <v>3</v>
      </c>
      <c r="I34" s="69">
        <v>0</v>
      </c>
      <c r="J34" s="69">
        <v>1</v>
      </c>
      <c r="K34" s="69">
        <v>3</v>
      </c>
      <c r="L34" s="69">
        <v>0</v>
      </c>
      <c r="M34" s="69">
        <v>0</v>
      </c>
      <c r="N34" s="69">
        <v>5</v>
      </c>
      <c r="O34" s="56">
        <f t="shared" si="4"/>
        <v>207</v>
      </c>
    </row>
    <row r="35" spans="1:15" ht="12.75">
      <c r="A35" s="35"/>
      <c r="B35" s="77"/>
      <c r="C35" s="85">
        <v>1398</v>
      </c>
      <c r="D35" s="69" t="s">
        <v>134</v>
      </c>
      <c r="E35" s="69">
        <v>76</v>
      </c>
      <c r="F35" s="69">
        <v>66</v>
      </c>
      <c r="G35" s="69">
        <v>47</v>
      </c>
      <c r="H35" s="69">
        <v>4</v>
      </c>
      <c r="I35" s="69">
        <v>0</v>
      </c>
      <c r="J35" s="69">
        <v>2</v>
      </c>
      <c r="K35" s="69">
        <v>0</v>
      </c>
      <c r="L35" s="69">
        <v>0</v>
      </c>
      <c r="M35" s="69">
        <v>0</v>
      </c>
      <c r="N35" s="69">
        <v>7</v>
      </c>
      <c r="O35" s="56">
        <f t="shared" si="4"/>
        <v>202</v>
      </c>
    </row>
    <row r="36" spans="1:15" ht="12.75">
      <c r="A36" s="35"/>
      <c r="B36" s="36"/>
      <c r="C36" s="85">
        <v>1415</v>
      </c>
      <c r="D36" s="69" t="s">
        <v>132</v>
      </c>
      <c r="E36" s="69">
        <v>46</v>
      </c>
      <c r="F36" s="69">
        <v>53</v>
      </c>
      <c r="G36" s="69">
        <v>26</v>
      </c>
      <c r="H36" s="69">
        <v>3</v>
      </c>
      <c r="I36" s="69">
        <v>1</v>
      </c>
      <c r="J36" s="69">
        <v>1</v>
      </c>
      <c r="K36" s="69">
        <v>1</v>
      </c>
      <c r="L36" s="69">
        <v>2</v>
      </c>
      <c r="M36" s="69">
        <v>0</v>
      </c>
      <c r="N36" s="69">
        <v>2</v>
      </c>
      <c r="O36" s="56">
        <f>SUM(E36:N36)</f>
        <v>135</v>
      </c>
    </row>
    <row r="37" spans="1:15" ht="12.75">
      <c r="A37" s="35"/>
      <c r="B37" s="36"/>
      <c r="C37" s="85">
        <v>1415</v>
      </c>
      <c r="D37" s="69" t="s">
        <v>120</v>
      </c>
      <c r="E37" s="69">
        <v>50</v>
      </c>
      <c r="F37" s="69">
        <v>51</v>
      </c>
      <c r="G37" s="69">
        <v>22</v>
      </c>
      <c r="H37" s="69">
        <v>3</v>
      </c>
      <c r="I37" s="69">
        <v>2</v>
      </c>
      <c r="J37" s="69">
        <v>0</v>
      </c>
      <c r="K37" s="69">
        <v>1</v>
      </c>
      <c r="L37" s="69">
        <v>1</v>
      </c>
      <c r="M37" s="69">
        <v>0</v>
      </c>
      <c r="N37" s="69">
        <v>1</v>
      </c>
      <c r="O37" s="56">
        <f>SUM(E37:N37)</f>
        <v>131</v>
      </c>
    </row>
    <row r="38" spans="1:15" ht="12.75">
      <c r="A38" s="35"/>
      <c r="B38" s="77"/>
      <c r="C38" s="85">
        <v>1422</v>
      </c>
      <c r="D38" s="69" t="s">
        <v>132</v>
      </c>
      <c r="E38" s="69">
        <v>52</v>
      </c>
      <c r="F38" s="69">
        <v>63</v>
      </c>
      <c r="G38" s="69">
        <v>53</v>
      </c>
      <c r="H38" s="69">
        <v>2</v>
      </c>
      <c r="I38" s="69">
        <v>0</v>
      </c>
      <c r="J38" s="69">
        <v>1</v>
      </c>
      <c r="K38" s="69">
        <v>1</v>
      </c>
      <c r="L38" s="69">
        <v>2</v>
      </c>
      <c r="M38" s="69">
        <v>0</v>
      </c>
      <c r="N38" s="69">
        <v>0</v>
      </c>
      <c r="O38" s="56">
        <f aca="true" t="shared" si="5" ref="O38:O81">SUM(E38:N38)</f>
        <v>174</v>
      </c>
    </row>
    <row r="39" spans="1:15" ht="12.75">
      <c r="A39" s="35"/>
      <c r="B39" s="36"/>
      <c r="C39" s="85">
        <v>1424</v>
      </c>
      <c r="D39" s="69" t="s">
        <v>120</v>
      </c>
      <c r="E39" s="69">
        <v>46</v>
      </c>
      <c r="F39" s="69">
        <v>67</v>
      </c>
      <c r="G39" s="69">
        <v>44</v>
      </c>
      <c r="H39" s="69">
        <v>3</v>
      </c>
      <c r="I39" s="69">
        <v>2</v>
      </c>
      <c r="J39" s="69">
        <v>0</v>
      </c>
      <c r="K39" s="69">
        <v>0</v>
      </c>
      <c r="L39" s="69">
        <v>2</v>
      </c>
      <c r="M39" s="69">
        <v>0</v>
      </c>
      <c r="N39" s="69">
        <v>2</v>
      </c>
      <c r="O39" s="56">
        <f t="shared" si="5"/>
        <v>166</v>
      </c>
    </row>
    <row r="40" spans="1:15" ht="12.75">
      <c r="A40" s="35"/>
      <c r="B40" s="36"/>
      <c r="C40" s="85">
        <v>1424</v>
      </c>
      <c r="D40" s="69" t="s">
        <v>134</v>
      </c>
      <c r="E40" s="69">
        <v>37</v>
      </c>
      <c r="F40" s="69">
        <v>66</v>
      </c>
      <c r="G40" s="69">
        <v>62</v>
      </c>
      <c r="H40" s="69">
        <v>9</v>
      </c>
      <c r="I40" s="69">
        <v>1</v>
      </c>
      <c r="J40" s="69">
        <v>0</v>
      </c>
      <c r="K40" s="69">
        <v>0</v>
      </c>
      <c r="L40" s="69">
        <v>1</v>
      </c>
      <c r="M40" s="69">
        <v>0</v>
      </c>
      <c r="N40" s="69">
        <v>6</v>
      </c>
      <c r="O40" s="56">
        <f t="shared" si="5"/>
        <v>182</v>
      </c>
    </row>
    <row r="41" spans="1:15" ht="12.75">
      <c r="A41" s="35"/>
      <c r="B41" s="86"/>
      <c r="C41" s="85">
        <v>1435</v>
      </c>
      <c r="D41" s="69" t="s">
        <v>132</v>
      </c>
      <c r="E41" s="69">
        <v>72</v>
      </c>
      <c r="F41" s="69">
        <v>80</v>
      </c>
      <c r="G41" s="69">
        <v>44</v>
      </c>
      <c r="H41" s="69">
        <v>2</v>
      </c>
      <c r="I41" s="69">
        <v>0</v>
      </c>
      <c r="J41" s="69">
        <v>1</v>
      </c>
      <c r="K41" s="69">
        <v>1</v>
      </c>
      <c r="L41" s="69">
        <v>1</v>
      </c>
      <c r="M41" s="69">
        <v>0</v>
      </c>
      <c r="N41" s="69">
        <v>7</v>
      </c>
      <c r="O41" s="56">
        <f t="shared" si="5"/>
        <v>208</v>
      </c>
    </row>
    <row r="42" spans="1:15" ht="12.75">
      <c r="A42" s="35"/>
      <c r="B42" s="36"/>
      <c r="C42" s="85">
        <v>1440</v>
      </c>
      <c r="D42" s="69" t="s">
        <v>120</v>
      </c>
      <c r="E42" s="69">
        <v>47</v>
      </c>
      <c r="F42" s="69">
        <v>46</v>
      </c>
      <c r="G42" s="74">
        <v>49</v>
      </c>
      <c r="H42" s="69">
        <v>4</v>
      </c>
      <c r="I42" s="69">
        <v>2</v>
      </c>
      <c r="J42" s="69">
        <v>0</v>
      </c>
      <c r="K42" s="69">
        <v>1</v>
      </c>
      <c r="L42" s="69">
        <v>3</v>
      </c>
      <c r="M42" s="69">
        <v>0</v>
      </c>
      <c r="N42" s="69">
        <v>2</v>
      </c>
      <c r="O42" s="56">
        <f t="shared" si="5"/>
        <v>154</v>
      </c>
    </row>
    <row r="43" spans="1:15" ht="12.75">
      <c r="A43" s="35"/>
      <c r="B43" s="36"/>
      <c r="C43" s="85">
        <v>1441</v>
      </c>
      <c r="D43" s="69" t="s">
        <v>134</v>
      </c>
      <c r="E43" s="69">
        <v>60</v>
      </c>
      <c r="F43" s="69">
        <v>48</v>
      </c>
      <c r="G43" s="69">
        <v>40</v>
      </c>
      <c r="H43" s="69">
        <v>2</v>
      </c>
      <c r="I43" s="69">
        <v>0</v>
      </c>
      <c r="J43" s="69">
        <v>1</v>
      </c>
      <c r="K43" s="69">
        <v>0</v>
      </c>
      <c r="L43" s="69">
        <v>7</v>
      </c>
      <c r="M43" s="69">
        <v>0</v>
      </c>
      <c r="N43" s="69">
        <v>3</v>
      </c>
      <c r="O43" s="56">
        <f t="shared" si="5"/>
        <v>161</v>
      </c>
    </row>
    <row r="44" spans="1:15" ht="12.75">
      <c r="A44" s="35"/>
      <c r="B44" s="77"/>
      <c r="C44" s="85">
        <v>1450</v>
      </c>
      <c r="D44" s="69" t="s">
        <v>134</v>
      </c>
      <c r="E44" s="69">
        <v>59</v>
      </c>
      <c r="F44" s="69">
        <v>72</v>
      </c>
      <c r="G44" s="69">
        <v>68</v>
      </c>
      <c r="H44" s="69">
        <v>3</v>
      </c>
      <c r="I44" s="69">
        <v>0</v>
      </c>
      <c r="J44" s="69">
        <v>1</v>
      </c>
      <c r="K44" s="69">
        <v>0</v>
      </c>
      <c r="L44" s="69">
        <v>1</v>
      </c>
      <c r="M44" s="69">
        <v>0</v>
      </c>
      <c r="N44" s="69">
        <v>5</v>
      </c>
      <c r="O44" s="56">
        <f t="shared" si="5"/>
        <v>209</v>
      </c>
    </row>
    <row r="45" spans="1:15" ht="12.75">
      <c r="A45" s="35"/>
      <c r="B45" s="36"/>
      <c r="C45" s="85">
        <v>1453</v>
      </c>
      <c r="D45" s="69" t="s">
        <v>132</v>
      </c>
      <c r="E45" s="69">
        <v>25</v>
      </c>
      <c r="F45" s="69">
        <v>50</v>
      </c>
      <c r="G45" s="69">
        <v>49</v>
      </c>
      <c r="H45" s="69">
        <v>11</v>
      </c>
      <c r="I45" s="69">
        <v>7</v>
      </c>
      <c r="J45" s="69">
        <v>0</v>
      </c>
      <c r="K45" s="69">
        <v>0</v>
      </c>
      <c r="L45" s="69">
        <v>1</v>
      </c>
      <c r="M45" s="69">
        <v>0</v>
      </c>
      <c r="N45" s="69">
        <v>6</v>
      </c>
      <c r="O45" s="56">
        <f t="shared" si="5"/>
        <v>149</v>
      </c>
    </row>
    <row r="46" spans="1:15" ht="12.75">
      <c r="A46" s="35"/>
      <c r="B46" s="36"/>
      <c r="C46" s="85">
        <v>1465</v>
      </c>
      <c r="D46" s="69" t="s">
        <v>132</v>
      </c>
      <c r="E46" s="69">
        <v>60</v>
      </c>
      <c r="F46" s="69">
        <v>77</v>
      </c>
      <c r="G46" s="69">
        <v>35</v>
      </c>
      <c r="H46" s="69">
        <v>4</v>
      </c>
      <c r="I46" s="69">
        <v>0</v>
      </c>
      <c r="J46" s="69">
        <v>3</v>
      </c>
      <c r="K46" s="69">
        <v>1</v>
      </c>
      <c r="L46" s="69">
        <v>3</v>
      </c>
      <c r="M46" s="69">
        <v>0</v>
      </c>
      <c r="N46" s="69">
        <v>4</v>
      </c>
      <c r="O46" s="56">
        <f t="shared" si="5"/>
        <v>187</v>
      </c>
    </row>
    <row r="47" spans="1:15" ht="12.75">
      <c r="A47" s="35"/>
      <c r="B47" s="36"/>
      <c r="C47" s="85">
        <v>1473</v>
      </c>
      <c r="D47" s="69" t="s">
        <v>134</v>
      </c>
      <c r="E47" s="69">
        <v>43</v>
      </c>
      <c r="F47" s="69">
        <v>24</v>
      </c>
      <c r="G47" s="69">
        <v>41</v>
      </c>
      <c r="H47" s="69">
        <v>2</v>
      </c>
      <c r="I47" s="69">
        <v>0</v>
      </c>
      <c r="J47" s="69">
        <v>3</v>
      </c>
      <c r="K47" s="69">
        <v>0</v>
      </c>
      <c r="L47" s="69">
        <v>1</v>
      </c>
      <c r="M47" s="69">
        <v>0</v>
      </c>
      <c r="N47" s="69">
        <v>0</v>
      </c>
      <c r="O47" s="56">
        <f t="shared" si="5"/>
        <v>114</v>
      </c>
    </row>
    <row r="48" spans="1:15" ht="12.75">
      <c r="A48" s="35"/>
      <c r="B48" s="36"/>
      <c r="C48" s="85">
        <v>1474</v>
      </c>
      <c r="D48" s="69" t="s">
        <v>120</v>
      </c>
      <c r="E48" s="69">
        <v>54</v>
      </c>
      <c r="F48" s="69">
        <v>62</v>
      </c>
      <c r="G48" s="69">
        <v>36</v>
      </c>
      <c r="H48" s="69">
        <v>4</v>
      </c>
      <c r="I48" s="69">
        <v>2</v>
      </c>
      <c r="J48" s="69">
        <v>1</v>
      </c>
      <c r="K48" s="69">
        <v>0</v>
      </c>
      <c r="L48" s="69">
        <v>3</v>
      </c>
      <c r="M48" s="69">
        <v>0</v>
      </c>
      <c r="N48" s="69">
        <v>1</v>
      </c>
      <c r="O48" s="56">
        <f t="shared" si="5"/>
        <v>163</v>
      </c>
    </row>
    <row r="49" spans="1:15" ht="12.75">
      <c r="A49" s="35"/>
      <c r="B49" s="36"/>
      <c r="C49" s="85">
        <v>1474</v>
      </c>
      <c r="D49" s="69" t="s">
        <v>134</v>
      </c>
      <c r="E49" s="69">
        <v>46</v>
      </c>
      <c r="F49" s="69">
        <v>49</v>
      </c>
      <c r="G49" s="69">
        <v>49</v>
      </c>
      <c r="H49" s="69">
        <v>2</v>
      </c>
      <c r="I49" s="69">
        <v>1</v>
      </c>
      <c r="J49" s="69">
        <v>1</v>
      </c>
      <c r="K49" s="69">
        <v>0</v>
      </c>
      <c r="L49" s="69">
        <v>0</v>
      </c>
      <c r="M49" s="69">
        <v>0</v>
      </c>
      <c r="N49" s="69">
        <v>4</v>
      </c>
      <c r="O49" s="56">
        <f t="shared" si="5"/>
        <v>152</v>
      </c>
    </row>
    <row r="50" spans="1:15" ht="12.75">
      <c r="A50" s="35"/>
      <c r="B50" s="36"/>
      <c r="C50" s="85">
        <v>1507</v>
      </c>
      <c r="D50" s="69" t="s">
        <v>134</v>
      </c>
      <c r="E50" s="69">
        <v>70</v>
      </c>
      <c r="F50" s="69">
        <v>78</v>
      </c>
      <c r="G50" s="69">
        <v>94</v>
      </c>
      <c r="H50" s="69">
        <v>5</v>
      </c>
      <c r="I50" s="69">
        <v>2</v>
      </c>
      <c r="J50" s="69">
        <v>0</v>
      </c>
      <c r="K50" s="69">
        <v>0</v>
      </c>
      <c r="L50" s="69">
        <v>2</v>
      </c>
      <c r="M50" s="69">
        <v>0</v>
      </c>
      <c r="N50" s="69">
        <v>9</v>
      </c>
      <c r="O50" s="56">
        <f t="shared" si="5"/>
        <v>260</v>
      </c>
    </row>
    <row r="51" spans="1:15" ht="12.75">
      <c r="A51" s="35"/>
      <c r="B51" s="36"/>
      <c r="C51" s="85">
        <v>1510</v>
      </c>
      <c r="D51" s="69" t="s">
        <v>120</v>
      </c>
      <c r="E51" s="69">
        <v>127</v>
      </c>
      <c r="F51" s="69">
        <v>117</v>
      </c>
      <c r="G51" s="69">
        <v>60</v>
      </c>
      <c r="H51" s="69">
        <v>2</v>
      </c>
      <c r="I51" s="69">
        <v>3</v>
      </c>
      <c r="J51" s="69">
        <v>3</v>
      </c>
      <c r="K51" s="69">
        <v>0</v>
      </c>
      <c r="L51" s="69">
        <v>10</v>
      </c>
      <c r="M51" s="69">
        <v>0</v>
      </c>
      <c r="N51" s="69">
        <v>3</v>
      </c>
      <c r="O51" s="56">
        <f t="shared" si="5"/>
        <v>325</v>
      </c>
    </row>
    <row r="52" spans="1:15" ht="12.75">
      <c r="A52" s="35"/>
      <c r="B52" s="36"/>
      <c r="C52" s="85">
        <v>1515</v>
      </c>
      <c r="D52" s="69" t="s">
        <v>133</v>
      </c>
      <c r="E52" s="69">
        <v>46</v>
      </c>
      <c r="F52" s="69">
        <v>72</v>
      </c>
      <c r="G52" s="69">
        <v>75</v>
      </c>
      <c r="H52" s="69">
        <v>4</v>
      </c>
      <c r="I52" s="69">
        <v>4</v>
      </c>
      <c r="J52" s="69">
        <v>0</v>
      </c>
      <c r="K52" s="69">
        <v>0</v>
      </c>
      <c r="L52" s="69">
        <v>4</v>
      </c>
      <c r="M52" s="69">
        <v>0</v>
      </c>
      <c r="N52" s="69">
        <v>6</v>
      </c>
      <c r="O52" s="56">
        <f t="shared" si="5"/>
        <v>211</v>
      </c>
    </row>
    <row r="53" spans="1:15" ht="12.75">
      <c r="A53" s="35"/>
      <c r="B53" s="36"/>
      <c r="C53" s="85">
        <v>1524</v>
      </c>
      <c r="D53" s="69" t="s">
        <v>132</v>
      </c>
      <c r="E53" s="69">
        <v>29</v>
      </c>
      <c r="F53" s="69">
        <v>47</v>
      </c>
      <c r="G53" s="69">
        <v>44</v>
      </c>
      <c r="H53" s="69">
        <v>5</v>
      </c>
      <c r="I53" s="69">
        <v>2</v>
      </c>
      <c r="J53" s="69">
        <v>0</v>
      </c>
      <c r="K53" s="69">
        <v>1</v>
      </c>
      <c r="L53" s="69">
        <v>1</v>
      </c>
      <c r="M53" s="69">
        <v>0</v>
      </c>
      <c r="N53" s="69">
        <v>4</v>
      </c>
      <c r="O53" s="56">
        <f t="shared" si="5"/>
        <v>133</v>
      </c>
    </row>
    <row r="54" spans="1:15" ht="12.75">
      <c r="A54" s="35"/>
      <c r="B54" s="36"/>
      <c r="C54" s="85">
        <v>1527</v>
      </c>
      <c r="D54" s="69" t="s">
        <v>132</v>
      </c>
      <c r="E54" s="69">
        <v>38</v>
      </c>
      <c r="F54" s="69">
        <v>100</v>
      </c>
      <c r="G54" s="69">
        <v>38</v>
      </c>
      <c r="H54" s="69">
        <v>5</v>
      </c>
      <c r="I54" s="69">
        <v>0</v>
      </c>
      <c r="J54" s="69">
        <v>0</v>
      </c>
      <c r="K54" s="69">
        <v>3</v>
      </c>
      <c r="L54" s="69">
        <v>0</v>
      </c>
      <c r="M54" s="69">
        <v>0</v>
      </c>
      <c r="N54" s="69">
        <v>5</v>
      </c>
      <c r="O54" s="56">
        <f t="shared" si="5"/>
        <v>189</v>
      </c>
    </row>
    <row r="55" spans="1:15" ht="12.75">
      <c r="A55" s="35"/>
      <c r="B55" s="36"/>
      <c r="C55" s="85">
        <v>1534</v>
      </c>
      <c r="D55" s="69" t="s">
        <v>132</v>
      </c>
      <c r="E55" s="69">
        <v>72</v>
      </c>
      <c r="F55" s="69">
        <v>70</v>
      </c>
      <c r="G55" s="69">
        <v>107</v>
      </c>
      <c r="H55" s="69">
        <v>2</v>
      </c>
      <c r="I55" s="69">
        <v>1</v>
      </c>
      <c r="J55" s="69">
        <v>2</v>
      </c>
      <c r="K55" s="69">
        <v>0</v>
      </c>
      <c r="L55" s="69">
        <v>0</v>
      </c>
      <c r="M55" s="69">
        <v>0</v>
      </c>
      <c r="N55" s="69">
        <v>8</v>
      </c>
      <c r="O55" s="56">
        <f t="shared" si="5"/>
        <v>262</v>
      </c>
    </row>
    <row r="56" spans="1:15" ht="12.75">
      <c r="A56" s="35"/>
      <c r="B56" s="36"/>
      <c r="C56" s="85">
        <v>1534</v>
      </c>
      <c r="D56" s="69" t="s">
        <v>120</v>
      </c>
      <c r="E56" s="69">
        <v>84</v>
      </c>
      <c r="F56" s="69">
        <v>91</v>
      </c>
      <c r="G56" s="69">
        <v>94</v>
      </c>
      <c r="H56" s="69">
        <v>3</v>
      </c>
      <c r="I56" s="69">
        <v>1</v>
      </c>
      <c r="J56" s="69">
        <v>1</v>
      </c>
      <c r="K56" s="69">
        <v>1</v>
      </c>
      <c r="L56" s="69">
        <v>2</v>
      </c>
      <c r="M56" s="69">
        <v>0</v>
      </c>
      <c r="N56" s="69">
        <v>4</v>
      </c>
      <c r="O56" s="56">
        <f t="shared" si="5"/>
        <v>281</v>
      </c>
    </row>
    <row r="57" spans="1:15" ht="12.75">
      <c r="A57" s="35"/>
      <c r="B57" s="36"/>
      <c r="C57" s="85">
        <v>1551</v>
      </c>
      <c r="D57" s="69" t="s">
        <v>132</v>
      </c>
      <c r="E57" s="69">
        <v>60</v>
      </c>
      <c r="F57" s="69">
        <v>57</v>
      </c>
      <c r="G57" s="69">
        <v>63</v>
      </c>
      <c r="H57" s="69">
        <v>0</v>
      </c>
      <c r="I57" s="69">
        <v>1</v>
      </c>
      <c r="J57" s="69">
        <v>0</v>
      </c>
      <c r="K57" s="69">
        <v>0</v>
      </c>
      <c r="L57" s="69">
        <v>1</v>
      </c>
      <c r="M57" s="69">
        <v>0</v>
      </c>
      <c r="N57" s="69">
        <v>5</v>
      </c>
      <c r="O57" s="56">
        <f t="shared" si="5"/>
        <v>187</v>
      </c>
    </row>
    <row r="58" spans="1:15" ht="12.75">
      <c r="A58" s="35"/>
      <c r="B58" s="77"/>
      <c r="C58" s="85">
        <v>1559</v>
      </c>
      <c r="D58" s="69" t="s">
        <v>132</v>
      </c>
      <c r="E58" s="69">
        <v>63</v>
      </c>
      <c r="F58" s="69">
        <v>48</v>
      </c>
      <c r="G58" s="69">
        <v>70</v>
      </c>
      <c r="H58" s="69">
        <v>1</v>
      </c>
      <c r="I58" s="69">
        <v>0</v>
      </c>
      <c r="J58" s="69">
        <v>1</v>
      </c>
      <c r="K58" s="69">
        <v>0</v>
      </c>
      <c r="L58" s="69">
        <v>4</v>
      </c>
      <c r="M58" s="69">
        <v>0</v>
      </c>
      <c r="N58" s="69">
        <v>3</v>
      </c>
      <c r="O58" s="56">
        <f t="shared" si="5"/>
        <v>190</v>
      </c>
    </row>
    <row r="59" spans="1:15" ht="12.75">
      <c r="A59" s="35"/>
      <c r="B59" s="36"/>
      <c r="C59" s="85">
        <v>1578</v>
      </c>
      <c r="D59" s="69" t="s">
        <v>120</v>
      </c>
      <c r="E59" s="69">
        <v>52</v>
      </c>
      <c r="F59" s="69">
        <v>54</v>
      </c>
      <c r="G59" s="69">
        <v>66</v>
      </c>
      <c r="H59" s="69">
        <v>2</v>
      </c>
      <c r="I59" s="69">
        <v>1</v>
      </c>
      <c r="J59" s="69">
        <v>2</v>
      </c>
      <c r="K59" s="69">
        <v>1</v>
      </c>
      <c r="L59" s="69">
        <v>7</v>
      </c>
      <c r="M59" s="69">
        <v>0</v>
      </c>
      <c r="N59" s="69">
        <v>5</v>
      </c>
      <c r="O59" s="56">
        <f t="shared" si="5"/>
        <v>190</v>
      </c>
    </row>
    <row r="60" spans="1:15" ht="12.75">
      <c r="A60" s="35"/>
      <c r="B60" s="36"/>
      <c r="C60" s="85">
        <v>1580</v>
      </c>
      <c r="D60" s="69" t="s">
        <v>120</v>
      </c>
      <c r="E60" s="69">
        <v>72</v>
      </c>
      <c r="F60" s="69">
        <v>53</v>
      </c>
      <c r="G60" s="69">
        <v>65</v>
      </c>
      <c r="H60" s="69">
        <v>1</v>
      </c>
      <c r="I60" s="69">
        <v>0</v>
      </c>
      <c r="J60" s="69">
        <v>0</v>
      </c>
      <c r="K60" s="69">
        <v>1</v>
      </c>
      <c r="L60" s="69">
        <v>0</v>
      </c>
      <c r="M60" s="69">
        <v>0</v>
      </c>
      <c r="N60" s="69">
        <v>1</v>
      </c>
      <c r="O60" s="56">
        <f t="shared" si="5"/>
        <v>193</v>
      </c>
    </row>
    <row r="61" spans="1:15" ht="12.75">
      <c r="A61" s="35"/>
      <c r="B61" s="36"/>
      <c r="C61" s="85">
        <v>1597</v>
      </c>
      <c r="D61" s="69" t="s">
        <v>134</v>
      </c>
      <c r="E61" s="69">
        <v>53</v>
      </c>
      <c r="F61" s="69">
        <v>69</v>
      </c>
      <c r="G61" s="69">
        <v>47</v>
      </c>
      <c r="H61" s="69">
        <v>21</v>
      </c>
      <c r="I61" s="69">
        <v>1</v>
      </c>
      <c r="J61" s="69">
        <v>0</v>
      </c>
      <c r="K61" s="69">
        <v>0</v>
      </c>
      <c r="L61" s="69">
        <v>1</v>
      </c>
      <c r="M61" s="69">
        <v>0</v>
      </c>
      <c r="N61" s="69">
        <v>1</v>
      </c>
      <c r="O61" s="56">
        <f t="shared" si="5"/>
        <v>193</v>
      </c>
    </row>
    <row r="62" spans="1:15" ht="12.75">
      <c r="A62" s="35"/>
      <c r="B62" s="36"/>
      <c r="C62" s="85">
        <v>1598</v>
      </c>
      <c r="D62" s="69" t="s">
        <v>120</v>
      </c>
      <c r="E62" s="69">
        <v>70</v>
      </c>
      <c r="F62" s="69">
        <v>69</v>
      </c>
      <c r="G62" s="69">
        <v>67</v>
      </c>
      <c r="H62" s="69">
        <v>10</v>
      </c>
      <c r="I62" s="69">
        <v>2</v>
      </c>
      <c r="J62" s="69">
        <v>2</v>
      </c>
      <c r="K62" s="69">
        <v>0</v>
      </c>
      <c r="L62" s="69">
        <v>2</v>
      </c>
      <c r="M62" s="69">
        <v>0</v>
      </c>
      <c r="N62" s="69">
        <v>0</v>
      </c>
      <c r="O62" s="56">
        <f t="shared" si="5"/>
        <v>222</v>
      </c>
    </row>
    <row r="63" spans="1:15" ht="12.75">
      <c r="A63" s="35"/>
      <c r="B63" s="36"/>
      <c r="C63" s="85">
        <v>1640</v>
      </c>
      <c r="D63" s="69" t="s">
        <v>120</v>
      </c>
      <c r="E63" s="69">
        <v>43</v>
      </c>
      <c r="F63" s="69">
        <v>29</v>
      </c>
      <c r="G63" s="69">
        <v>52</v>
      </c>
      <c r="H63" s="69">
        <v>1</v>
      </c>
      <c r="I63" s="69">
        <v>1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56">
        <f t="shared" si="5"/>
        <v>126</v>
      </c>
    </row>
    <row r="64" spans="1:15" ht="12.75">
      <c r="A64" s="35"/>
      <c r="B64" s="36"/>
      <c r="C64" s="85">
        <v>1649</v>
      </c>
      <c r="D64" s="69" t="s">
        <v>132</v>
      </c>
      <c r="E64" s="69">
        <v>51</v>
      </c>
      <c r="F64" s="69">
        <v>69</v>
      </c>
      <c r="G64" s="69">
        <v>80</v>
      </c>
      <c r="H64" s="69">
        <v>7</v>
      </c>
      <c r="I64" s="69">
        <v>0</v>
      </c>
      <c r="J64" s="69">
        <v>3</v>
      </c>
      <c r="K64" s="69">
        <v>0</v>
      </c>
      <c r="L64" s="69">
        <v>1</v>
      </c>
      <c r="M64" s="69">
        <v>0</v>
      </c>
      <c r="N64" s="69">
        <v>1</v>
      </c>
      <c r="O64" s="56">
        <f t="shared" si="5"/>
        <v>212</v>
      </c>
    </row>
    <row r="65" spans="1:15" ht="12.75">
      <c r="A65" s="35"/>
      <c r="B65" s="36"/>
      <c r="C65" s="85">
        <v>1657</v>
      </c>
      <c r="D65" s="69" t="s">
        <v>132</v>
      </c>
      <c r="E65" s="69">
        <v>41</v>
      </c>
      <c r="F65" s="69">
        <v>74</v>
      </c>
      <c r="G65" s="69">
        <v>47</v>
      </c>
      <c r="H65" s="69">
        <v>9</v>
      </c>
      <c r="I65" s="69">
        <v>1</v>
      </c>
      <c r="J65" s="69">
        <v>3</v>
      </c>
      <c r="K65" s="69">
        <v>0</v>
      </c>
      <c r="L65" s="69">
        <v>2</v>
      </c>
      <c r="M65" s="69">
        <v>0</v>
      </c>
      <c r="N65" s="69">
        <v>0</v>
      </c>
      <c r="O65" s="56">
        <f t="shared" si="5"/>
        <v>177</v>
      </c>
    </row>
    <row r="66" spans="1:15" ht="12.75">
      <c r="A66" s="35"/>
      <c r="B66" s="36"/>
      <c r="C66" s="85">
        <v>1694</v>
      </c>
      <c r="D66" s="69" t="s">
        <v>132</v>
      </c>
      <c r="E66" s="69">
        <v>60</v>
      </c>
      <c r="F66" s="69">
        <v>35</v>
      </c>
      <c r="G66" s="69">
        <v>86</v>
      </c>
      <c r="H66" s="69">
        <v>11</v>
      </c>
      <c r="I66" s="69">
        <v>1</v>
      </c>
      <c r="J66" s="69">
        <v>0</v>
      </c>
      <c r="K66" s="69">
        <v>1</v>
      </c>
      <c r="L66" s="69">
        <v>1</v>
      </c>
      <c r="M66" s="69">
        <v>0</v>
      </c>
      <c r="N66" s="69">
        <v>2</v>
      </c>
      <c r="O66" s="56">
        <f t="shared" si="5"/>
        <v>197</v>
      </c>
    </row>
    <row r="67" spans="1:15" ht="12.75">
      <c r="A67" s="35"/>
      <c r="B67" s="36"/>
      <c r="C67" s="85">
        <v>1700</v>
      </c>
      <c r="D67" s="69" t="s">
        <v>133</v>
      </c>
      <c r="E67" s="69">
        <v>58</v>
      </c>
      <c r="F67" s="69">
        <v>54</v>
      </c>
      <c r="G67" s="69">
        <v>77</v>
      </c>
      <c r="H67" s="69">
        <v>1</v>
      </c>
      <c r="I67" s="69">
        <v>2</v>
      </c>
      <c r="J67" s="69">
        <v>1</v>
      </c>
      <c r="K67" s="69">
        <v>6</v>
      </c>
      <c r="L67" s="69">
        <v>7</v>
      </c>
      <c r="M67" s="69">
        <v>0</v>
      </c>
      <c r="N67" s="69">
        <v>3</v>
      </c>
      <c r="O67" s="56">
        <f t="shared" si="5"/>
        <v>209</v>
      </c>
    </row>
    <row r="68" spans="1:15" ht="12.75">
      <c r="A68" s="35"/>
      <c r="B68" s="36"/>
      <c r="C68" s="85">
        <v>1700</v>
      </c>
      <c r="D68" s="69" t="s">
        <v>160</v>
      </c>
      <c r="E68" s="69">
        <v>64</v>
      </c>
      <c r="F68" s="69">
        <v>75</v>
      </c>
      <c r="G68" s="69">
        <v>64</v>
      </c>
      <c r="H68" s="69">
        <v>0</v>
      </c>
      <c r="I68" s="69">
        <v>2</v>
      </c>
      <c r="J68" s="69">
        <v>0</v>
      </c>
      <c r="K68" s="69">
        <v>7</v>
      </c>
      <c r="L68" s="69">
        <v>6</v>
      </c>
      <c r="M68" s="69">
        <v>0</v>
      </c>
      <c r="N68" s="69">
        <v>3</v>
      </c>
      <c r="O68" s="56">
        <f t="shared" si="5"/>
        <v>221</v>
      </c>
    </row>
    <row r="69" spans="1:15" ht="12.75">
      <c r="A69" s="35"/>
      <c r="B69" s="36"/>
      <c r="C69" s="85">
        <v>1703</v>
      </c>
      <c r="D69" s="69" t="s">
        <v>134</v>
      </c>
      <c r="E69" s="69">
        <v>88</v>
      </c>
      <c r="F69" s="69">
        <v>82</v>
      </c>
      <c r="G69" s="69">
        <v>91</v>
      </c>
      <c r="H69" s="69">
        <v>2</v>
      </c>
      <c r="I69" s="69">
        <v>1</v>
      </c>
      <c r="J69" s="69">
        <v>4</v>
      </c>
      <c r="K69" s="69">
        <v>1</v>
      </c>
      <c r="L69" s="69">
        <v>2</v>
      </c>
      <c r="M69" s="69">
        <v>0</v>
      </c>
      <c r="N69" s="69">
        <v>3</v>
      </c>
      <c r="O69" s="56">
        <f t="shared" si="5"/>
        <v>274</v>
      </c>
    </row>
    <row r="70" spans="1:15" ht="12.75">
      <c r="A70" s="35"/>
      <c r="B70" s="77"/>
      <c r="C70" s="85">
        <v>1712</v>
      </c>
      <c r="D70" s="69" t="s">
        <v>120</v>
      </c>
      <c r="E70" s="69">
        <v>43</v>
      </c>
      <c r="F70" s="69">
        <v>61</v>
      </c>
      <c r="G70" s="69">
        <v>64</v>
      </c>
      <c r="H70" s="69">
        <v>5</v>
      </c>
      <c r="I70" s="69">
        <v>0</v>
      </c>
      <c r="J70" s="69">
        <v>2</v>
      </c>
      <c r="K70" s="69">
        <v>0</v>
      </c>
      <c r="L70" s="69">
        <v>4</v>
      </c>
      <c r="M70" s="69">
        <v>0</v>
      </c>
      <c r="N70" s="69">
        <v>2</v>
      </c>
      <c r="O70" s="56">
        <f t="shared" si="5"/>
        <v>181</v>
      </c>
    </row>
    <row r="71" spans="1:15" ht="12.75">
      <c r="A71" s="35"/>
      <c r="B71" s="36"/>
      <c r="C71" s="85">
        <v>1718</v>
      </c>
      <c r="D71" s="69" t="s">
        <v>134</v>
      </c>
      <c r="E71" s="69">
        <v>33</v>
      </c>
      <c r="F71" s="69">
        <v>58</v>
      </c>
      <c r="G71" s="69">
        <v>43</v>
      </c>
      <c r="H71" s="69">
        <v>4</v>
      </c>
      <c r="I71" s="69">
        <v>1</v>
      </c>
      <c r="J71" s="69">
        <v>18</v>
      </c>
      <c r="K71" s="69">
        <v>0</v>
      </c>
      <c r="L71" s="69">
        <v>2</v>
      </c>
      <c r="M71" s="69">
        <v>0</v>
      </c>
      <c r="N71" s="69">
        <v>3</v>
      </c>
      <c r="O71" s="56">
        <f t="shared" si="5"/>
        <v>162</v>
      </c>
    </row>
    <row r="72" spans="1:15" ht="12.75">
      <c r="A72" s="35"/>
      <c r="B72" s="36"/>
      <c r="C72" s="85">
        <v>1741</v>
      </c>
      <c r="D72" s="69" t="s">
        <v>132</v>
      </c>
      <c r="E72" s="69">
        <v>79</v>
      </c>
      <c r="F72" s="69">
        <v>88</v>
      </c>
      <c r="G72" s="69">
        <v>38</v>
      </c>
      <c r="H72" s="69">
        <v>4</v>
      </c>
      <c r="I72" s="69">
        <v>0</v>
      </c>
      <c r="J72" s="69">
        <v>0</v>
      </c>
      <c r="K72" s="69">
        <v>2</v>
      </c>
      <c r="L72" s="69">
        <v>2</v>
      </c>
      <c r="M72" s="69">
        <v>0</v>
      </c>
      <c r="N72" s="69">
        <v>5</v>
      </c>
      <c r="O72" s="56">
        <f t="shared" si="5"/>
        <v>218</v>
      </c>
    </row>
    <row r="73" spans="1:15" ht="12.75">
      <c r="A73" s="35"/>
      <c r="B73" s="36"/>
      <c r="C73" s="85">
        <v>1753</v>
      </c>
      <c r="D73" s="69" t="s">
        <v>120</v>
      </c>
      <c r="E73" s="69">
        <v>63</v>
      </c>
      <c r="F73" s="69">
        <v>70</v>
      </c>
      <c r="G73" s="69">
        <v>35</v>
      </c>
      <c r="H73" s="69">
        <v>5</v>
      </c>
      <c r="I73" s="69">
        <v>0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56">
        <f t="shared" si="5"/>
        <v>173</v>
      </c>
    </row>
    <row r="74" spans="1:15" ht="12.75">
      <c r="A74" s="35"/>
      <c r="B74" s="36"/>
      <c r="C74" s="85">
        <v>1763</v>
      </c>
      <c r="D74" s="69" t="s">
        <v>132</v>
      </c>
      <c r="E74" s="69">
        <v>37</v>
      </c>
      <c r="F74" s="69">
        <v>63</v>
      </c>
      <c r="G74" s="69">
        <v>58</v>
      </c>
      <c r="H74" s="69">
        <v>4</v>
      </c>
      <c r="I74" s="69">
        <v>1</v>
      </c>
      <c r="J74" s="69">
        <v>2</v>
      </c>
      <c r="K74" s="69">
        <v>0</v>
      </c>
      <c r="L74" s="69">
        <v>1</v>
      </c>
      <c r="M74" s="69">
        <v>0</v>
      </c>
      <c r="N74" s="69">
        <v>4</v>
      </c>
      <c r="O74" s="56">
        <f t="shared" si="5"/>
        <v>170</v>
      </c>
    </row>
    <row r="75" spans="1:15" ht="12.75">
      <c r="A75" s="35"/>
      <c r="B75" s="36"/>
      <c r="C75" s="85">
        <v>1767</v>
      </c>
      <c r="D75" s="69" t="s">
        <v>134</v>
      </c>
      <c r="E75" s="69">
        <v>100</v>
      </c>
      <c r="F75" s="69">
        <v>65</v>
      </c>
      <c r="G75" s="69">
        <v>44</v>
      </c>
      <c r="H75" s="69">
        <v>6</v>
      </c>
      <c r="I75" s="69">
        <v>0</v>
      </c>
      <c r="J75" s="69">
        <v>2</v>
      </c>
      <c r="K75" s="69">
        <v>2</v>
      </c>
      <c r="L75" s="69">
        <v>4</v>
      </c>
      <c r="M75" s="69">
        <v>0</v>
      </c>
      <c r="N75" s="69">
        <v>7</v>
      </c>
      <c r="O75" s="56">
        <f t="shared" si="5"/>
        <v>230</v>
      </c>
    </row>
    <row r="76" spans="1:15" ht="12.75">
      <c r="A76" s="35"/>
      <c r="B76" s="36"/>
      <c r="C76" s="85">
        <v>1768</v>
      </c>
      <c r="D76" s="69" t="s">
        <v>132</v>
      </c>
      <c r="E76" s="69">
        <v>40</v>
      </c>
      <c r="F76" s="69">
        <v>56</v>
      </c>
      <c r="G76" s="69">
        <v>46</v>
      </c>
      <c r="H76" s="69">
        <v>7</v>
      </c>
      <c r="I76" s="69">
        <v>0</v>
      </c>
      <c r="J76" s="69">
        <v>2</v>
      </c>
      <c r="K76" s="69">
        <v>0</v>
      </c>
      <c r="L76" s="69">
        <v>10</v>
      </c>
      <c r="M76" s="69">
        <v>0</v>
      </c>
      <c r="N76" s="69">
        <v>4</v>
      </c>
      <c r="O76" s="56">
        <f t="shared" si="5"/>
        <v>165</v>
      </c>
    </row>
    <row r="77" spans="1:15" ht="12.75">
      <c r="A77" s="35"/>
      <c r="B77" s="36"/>
      <c r="C77" s="85">
        <v>1781</v>
      </c>
      <c r="D77" s="69" t="s">
        <v>222</v>
      </c>
      <c r="E77" s="69">
        <v>52</v>
      </c>
      <c r="F77" s="69">
        <v>79</v>
      </c>
      <c r="G77" s="69">
        <v>65</v>
      </c>
      <c r="H77" s="69">
        <v>1</v>
      </c>
      <c r="I77" s="69">
        <v>1</v>
      </c>
      <c r="J77" s="69">
        <v>4</v>
      </c>
      <c r="K77" s="69">
        <v>1</v>
      </c>
      <c r="L77" s="69">
        <v>1</v>
      </c>
      <c r="M77" s="69">
        <v>0</v>
      </c>
      <c r="N77" s="69">
        <v>0</v>
      </c>
      <c r="O77" s="56">
        <f t="shared" si="5"/>
        <v>204</v>
      </c>
    </row>
    <row r="78" spans="1:15" ht="12.75">
      <c r="A78" s="35"/>
      <c r="B78" s="36"/>
      <c r="C78" s="85">
        <v>1788</v>
      </c>
      <c r="D78" s="69" t="s">
        <v>134</v>
      </c>
      <c r="E78" s="69">
        <v>77</v>
      </c>
      <c r="F78" s="69">
        <v>61</v>
      </c>
      <c r="G78" s="69">
        <v>79</v>
      </c>
      <c r="H78" s="69">
        <v>2</v>
      </c>
      <c r="I78" s="69">
        <v>0</v>
      </c>
      <c r="J78" s="69">
        <v>1</v>
      </c>
      <c r="K78" s="69">
        <v>3</v>
      </c>
      <c r="L78" s="69">
        <v>1</v>
      </c>
      <c r="M78" s="69">
        <v>0</v>
      </c>
      <c r="N78" s="69">
        <v>4</v>
      </c>
      <c r="O78" s="56">
        <f t="shared" si="5"/>
        <v>228</v>
      </c>
    </row>
    <row r="79" spans="1:15" ht="12.75">
      <c r="A79" s="35"/>
      <c r="B79" s="36"/>
      <c r="C79" s="85">
        <v>1800</v>
      </c>
      <c r="D79" s="69" t="s">
        <v>133</v>
      </c>
      <c r="E79" s="69">
        <v>73</v>
      </c>
      <c r="F79" s="69">
        <v>59</v>
      </c>
      <c r="G79" s="69">
        <v>84</v>
      </c>
      <c r="H79" s="69">
        <v>3</v>
      </c>
      <c r="I79" s="69">
        <v>0</v>
      </c>
      <c r="J79" s="69">
        <v>1</v>
      </c>
      <c r="K79" s="69">
        <v>2</v>
      </c>
      <c r="L79" s="69">
        <v>0</v>
      </c>
      <c r="M79" s="69">
        <v>0</v>
      </c>
      <c r="N79" s="69">
        <v>6</v>
      </c>
      <c r="O79" s="56">
        <f t="shared" si="5"/>
        <v>228</v>
      </c>
    </row>
    <row r="80" spans="1:15" ht="12.75">
      <c r="A80" s="35"/>
      <c r="B80" s="36"/>
      <c r="C80" s="85">
        <v>1866</v>
      </c>
      <c r="D80" s="69" t="s">
        <v>120</v>
      </c>
      <c r="E80" s="69">
        <v>74</v>
      </c>
      <c r="F80" s="69">
        <v>58</v>
      </c>
      <c r="G80" s="69">
        <v>72</v>
      </c>
      <c r="H80" s="69">
        <v>4</v>
      </c>
      <c r="I80" s="69">
        <v>0</v>
      </c>
      <c r="J80" s="69">
        <v>0</v>
      </c>
      <c r="K80" s="69">
        <v>1</v>
      </c>
      <c r="L80" s="69">
        <v>0</v>
      </c>
      <c r="M80" s="69">
        <v>0</v>
      </c>
      <c r="N80" s="69">
        <v>4</v>
      </c>
      <c r="O80" s="56">
        <f t="shared" si="5"/>
        <v>213</v>
      </c>
    </row>
    <row r="81" spans="1:15" ht="12.75">
      <c r="A81" s="35"/>
      <c r="B81" s="94" t="s">
        <v>135</v>
      </c>
      <c r="C81" s="85"/>
      <c r="D81" s="69"/>
      <c r="E81" s="93">
        <f>-SUM(E17:E80)</f>
        <v>-3818</v>
      </c>
      <c r="F81" s="93">
        <f aca="true" t="shared" si="6" ref="F81:N81">-SUM(F17:F80)</f>
        <v>-4382</v>
      </c>
      <c r="G81" s="93">
        <f t="shared" si="6"/>
        <v>-3790</v>
      </c>
      <c r="H81" s="93">
        <f t="shared" si="6"/>
        <v>-268</v>
      </c>
      <c r="I81" s="93">
        <f t="shared" si="6"/>
        <v>-64</v>
      </c>
      <c r="J81" s="93">
        <f t="shared" si="6"/>
        <v>-92</v>
      </c>
      <c r="K81" s="93">
        <f t="shared" si="6"/>
        <v>-61</v>
      </c>
      <c r="L81" s="93">
        <f t="shared" si="6"/>
        <v>-130</v>
      </c>
      <c r="M81" s="93">
        <f t="shared" si="6"/>
        <v>0</v>
      </c>
      <c r="N81" s="93">
        <f t="shared" si="6"/>
        <v>-244</v>
      </c>
      <c r="O81" s="56">
        <f t="shared" si="5"/>
        <v>-12849</v>
      </c>
    </row>
    <row r="82" spans="1:15" ht="15">
      <c r="A82" s="35">
        <v>71</v>
      </c>
      <c r="B82" s="36" t="s">
        <v>202</v>
      </c>
      <c r="C82" s="85">
        <v>3977</v>
      </c>
      <c r="D82" s="69" t="s">
        <v>132</v>
      </c>
      <c r="E82" s="74">
        <v>19</v>
      </c>
      <c r="F82" s="74">
        <v>89</v>
      </c>
      <c r="G82" s="74">
        <v>58</v>
      </c>
      <c r="H82" s="74">
        <v>57</v>
      </c>
      <c r="I82" s="69">
        <v>0</v>
      </c>
      <c r="J82" s="69">
        <v>2</v>
      </c>
      <c r="K82" s="69">
        <v>1</v>
      </c>
      <c r="L82" s="69">
        <v>1</v>
      </c>
      <c r="M82" s="69">
        <v>0</v>
      </c>
      <c r="N82" s="69">
        <v>4</v>
      </c>
      <c r="O82" s="56">
        <f aca="true" t="shared" si="7" ref="O82:O95">SUM(E82:N82)</f>
        <v>231</v>
      </c>
    </row>
    <row r="83" spans="1:15" ht="12.75">
      <c r="A83" s="35"/>
      <c r="B83" s="36"/>
      <c r="C83" s="85">
        <v>3984</v>
      </c>
      <c r="D83" s="69" t="s">
        <v>120</v>
      </c>
      <c r="E83" s="69">
        <v>22</v>
      </c>
      <c r="F83" s="69">
        <v>76</v>
      </c>
      <c r="G83" s="69">
        <v>58</v>
      </c>
      <c r="H83" s="69">
        <v>28</v>
      </c>
      <c r="I83" s="69">
        <v>1</v>
      </c>
      <c r="J83" s="69">
        <v>4</v>
      </c>
      <c r="K83" s="69">
        <v>1</v>
      </c>
      <c r="L83" s="69">
        <v>3</v>
      </c>
      <c r="M83" s="69">
        <v>0</v>
      </c>
      <c r="N83" s="69">
        <v>16</v>
      </c>
      <c r="O83" s="56">
        <f t="shared" si="7"/>
        <v>209</v>
      </c>
    </row>
    <row r="84" spans="1:15" ht="12.75">
      <c r="A84" s="35"/>
      <c r="B84" s="94" t="s">
        <v>135</v>
      </c>
      <c r="C84" s="85"/>
      <c r="D84" s="69"/>
      <c r="E84" s="69">
        <f>-SUM(E82:E83)</f>
        <v>-41</v>
      </c>
      <c r="F84" s="69">
        <f aca="true" t="shared" si="8" ref="F84:N84">-SUM(F82:F83)</f>
        <v>-165</v>
      </c>
      <c r="G84" s="69">
        <f t="shared" si="8"/>
        <v>-116</v>
      </c>
      <c r="H84" s="69">
        <f t="shared" si="8"/>
        <v>-85</v>
      </c>
      <c r="I84" s="69">
        <f t="shared" si="8"/>
        <v>-1</v>
      </c>
      <c r="J84" s="69">
        <f t="shared" si="8"/>
        <v>-6</v>
      </c>
      <c r="K84" s="69">
        <f t="shared" si="8"/>
        <v>-2</v>
      </c>
      <c r="L84" s="69">
        <f t="shared" si="8"/>
        <v>-4</v>
      </c>
      <c r="M84" s="69">
        <f t="shared" si="8"/>
        <v>0</v>
      </c>
      <c r="N84" s="69">
        <f t="shared" si="8"/>
        <v>-20</v>
      </c>
      <c r="O84" s="56">
        <f t="shared" si="7"/>
        <v>-440</v>
      </c>
    </row>
    <row r="85" spans="1:15" ht="15">
      <c r="A85" s="35">
        <v>74</v>
      </c>
      <c r="B85" s="36" t="s">
        <v>217</v>
      </c>
      <c r="C85" s="85">
        <v>4025</v>
      </c>
      <c r="D85" s="69" t="s">
        <v>132</v>
      </c>
      <c r="E85" s="69">
        <v>86</v>
      </c>
      <c r="F85" s="69">
        <v>119</v>
      </c>
      <c r="G85" s="69">
        <v>209</v>
      </c>
      <c r="H85" s="69">
        <v>26</v>
      </c>
      <c r="I85" s="69">
        <v>0</v>
      </c>
      <c r="J85" s="69">
        <v>0</v>
      </c>
      <c r="K85" s="69">
        <v>0</v>
      </c>
      <c r="L85" s="69">
        <v>0</v>
      </c>
      <c r="M85" s="69">
        <v>0</v>
      </c>
      <c r="N85" s="69">
        <v>5</v>
      </c>
      <c r="O85" s="56">
        <f t="shared" si="7"/>
        <v>445</v>
      </c>
    </row>
    <row r="86" spans="1:15" ht="12.75">
      <c r="A86" s="35"/>
      <c r="B86" s="96" t="s">
        <v>198</v>
      </c>
      <c r="C86" s="85">
        <v>4025</v>
      </c>
      <c r="D86" s="69" t="s">
        <v>120</v>
      </c>
      <c r="E86" s="69">
        <v>128</v>
      </c>
      <c r="F86" s="69">
        <v>87</v>
      </c>
      <c r="G86" s="69">
        <v>199</v>
      </c>
      <c r="H86" s="69">
        <v>21</v>
      </c>
      <c r="I86" s="69">
        <v>0</v>
      </c>
      <c r="J86" s="69">
        <v>0</v>
      </c>
      <c r="K86" s="69">
        <v>0</v>
      </c>
      <c r="L86" s="69">
        <v>0</v>
      </c>
      <c r="M86" s="69">
        <v>0</v>
      </c>
      <c r="N86" s="69">
        <v>6</v>
      </c>
      <c r="O86" s="56">
        <f t="shared" si="7"/>
        <v>441</v>
      </c>
    </row>
    <row r="87" spans="1:15" ht="12.75">
      <c r="A87" s="35"/>
      <c r="B87" s="94" t="s">
        <v>135</v>
      </c>
      <c r="C87" s="85"/>
      <c r="D87" s="69"/>
      <c r="E87" s="69">
        <f>SUM(E85:E86)</f>
        <v>214</v>
      </c>
      <c r="F87" s="69">
        <f aca="true" t="shared" si="9" ref="F87:N87">SUM(F85:F86)</f>
        <v>206</v>
      </c>
      <c r="G87" s="69">
        <f t="shared" si="9"/>
        <v>408</v>
      </c>
      <c r="H87" s="69">
        <f t="shared" si="9"/>
        <v>47</v>
      </c>
      <c r="I87" s="69">
        <f t="shared" si="9"/>
        <v>0</v>
      </c>
      <c r="J87" s="69">
        <f t="shared" si="9"/>
        <v>0</v>
      </c>
      <c r="K87" s="69">
        <f t="shared" si="9"/>
        <v>0</v>
      </c>
      <c r="L87" s="69">
        <f t="shared" si="9"/>
        <v>0</v>
      </c>
      <c r="M87" s="69">
        <f t="shared" si="9"/>
        <v>0</v>
      </c>
      <c r="N87" s="69">
        <f t="shared" si="9"/>
        <v>11</v>
      </c>
      <c r="O87" s="70">
        <f t="shared" si="7"/>
        <v>886</v>
      </c>
    </row>
    <row r="88" spans="1:15" ht="15">
      <c r="A88" s="35">
        <v>82</v>
      </c>
      <c r="B88" s="36" t="s">
        <v>220</v>
      </c>
      <c r="C88" s="85">
        <v>4221</v>
      </c>
      <c r="D88" s="69" t="s">
        <v>132</v>
      </c>
      <c r="E88" s="69">
        <v>79</v>
      </c>
      <c r="F88" s="69">
        <v>106</v>
      </c>
      <c r="G88" s="69">
        <v>31</v>
      </c>
      <c r="H88" s="69">
        <v>2</v>
      </c>
      <c r="I88" s="69">
        <v>1</v>
      </c>
      <c r="J88" s="69">
        <v>0</v>
      </c>
      <c r="K88" s="69">
        <v>0</v>
      </c>
      <c r="L88" s="69">
        <v>7</v>
      </c>
      <c r="M88" s="69">
        <v>0</v>
      </c>
      <c r="N88" s="69">
        <v>11</v>
      </c>
      <c r="O88" s="56">
        <f t="shared" si="7"/>
        <v>237</v>
      </c>
    </row>
    <row r="89" spans="1:15" ht="12.75">
      <c r="A89" s="35"/>
      <c r="B89" s="36"/>
      <c r="C89" s="85">
        <v>4228</v>
      </c>
      <c r="D89" s="69" t="s">
        <v>168</v>
      </c>
      <c r="E89" s="69">
        <v>74</v>
      </c>
      <c r="F89" s="69">
        <v>162</v>
      </c>
      <c r="G89" s="69">
        <v>18</v>
      </c>
      <c r="H89" s="69">
        <v>0</v>
      </c>
      <c r="I89" s="69">
        <v>2</v>
      </c>
      <c r="J89" s="69">
        <v>1</v>
      </c>
      <c r="K89" s="69">
        <v>6</v>
      </c>
      <c r="L89" s="69">
        <v>1</v>
      </c>
      <c r="M89" s="69">
        <v>0</v>
      </c>
      <c r="N89" s="69">
        <v>3</v>
      </c>
      <c r="O89" s="56">
        <f t="shared" si="7"/>
        <v>267</v>
      </c>
    </row>
    <row r="90" spans="1:15" ht="12.75">
      <c r="A90" s="35"/>
      <c r="B90" s="94" t="s">
        <v>135</v>
      </c>
      <c r="C90" s="85"/>
      <c r="D90" s="69"/>
      <c r="E90" s="69">
        <f>-SUM(E88:E89)</f>
        <v>-153</v>
      </c>
      <c r="F90" s="69">
        <f aca="true" t="shared" si="10" ref="F90:N90">-SUM(F88:F89)</f>
        <v>-268</v>
      </c>
      <c r="G90" s="69">
        <f t="shared" si="10"/>
        <v>-49</v>
      </c>
      <c r="H90" s="69">
        <f t="shared" si="10"/>
        <v>-2</v>
      </c>
      <c r="I90" s="69">
        <f t="shared" si="10"/>
        <v>-3</v>
      </c>
      <c r="J90" s="69">
        <f t="shared" si="10"/>
        <v>-1</v>
      </c>
      <c r="K90" s="69">
        <f t="shared" si="10"/>
        <v>-6</v>
      </c>
      <c r="L90" s="69">
        <f t="shared" si="10"/>
        <v>-8</v>
      </c>
      <c r="M90" s="69">
        <f t="shared" si="10"/>
        <v>0</v>
      </c>
      <c r="N90" s="69">
        <f t="shared" si="10"/>
        <v>-14</v>
      </c>
      <c r="O90" s="56">
        <f t="shared" si="7"/>
        <v>-504</v>
      </c>
    </row>
    <row r="91" spans="1:15" ht="15">
      <c r="A91" s="35">
        <v>118</v>
      </c>
      <c r="B91" s="36" t="s">
        <v>218</v>
      </c>
      <c r="C91" s="85">
        <v>5811</v>
      </c>
      <c r="D91" s="69" t="s">
        <v>132</v>
      </c>
      <c r="E91" s="69">
        <v>42</v>
      </c>
      <c r="F91" s="69">
        <v>50</v>
      </c>
      <c r="G91" s="69">
        <v>26</v>
      </c>
      <c r="H91" s="69">
        <v>11</v>
      </c>
      <c r="I91" s="69">
        <v>3</v>
      </c>
      <c r="J91" s="69">
        <v>1</v>
      </c>
      <c r="K91" s="69">
        <v>91</v>
      </c>
      <c r="L91" s="69">
        <v>30</v>
      </c>
      <c r="M91" s="69">
        <v>2</v>
      </c>
      <c r="N91" s="69">
        <v>20</v>
      </c>
      <c r="O91" s="70">
        <f t="shared" si="7"/>
        <v>276</v>
      </c>
    </row>
    <row r="92" spans="1:15" ht="12.75">
      <c r="A92" s="35"/>
      <c r="B92" s="96" t="s">
        <v>198</v>
      </c>
      <c r="C92" s="85">
        <v>5818</v>
      </c>
      <c r="D92" s="69" t="s">
        <v>168</v>
      </c>
      <c r="E92" s="69">
        <v>21</v>
      </c>
      <c r="F92" s="69">
        <v>22</v>
      </c>
      <c r="G92" s="69">
        <v>3</v>
      </c>
      <c r="H92" s="69">
        <v>4</v>
      </c>
      <c r="I92" s="69">
        <v>2</v>
      </c>
      <c r="J92" s="69">
        <v>0</v>
      </c>
      <c r="K92" s="69">
        <v>6</v>
      </c>
      <c r="L92" s="69">
        <v>21</v>
      </c>
      <c r="M92" s="69">
        <v>0</v>
      </c>
      <c r="N92" s="69">
        <v>3</v>
      </c>
      <c r="O92" s="70">
        <f t="shared" si="7"/>
        <v>82</v>
      </c>
    </row>
    <row r="93" spans="1:15" ht="12.75">
      <c r="A93" s="35"/>
      <c r="B93" s="96"/>
      <c r="C93" s="85">
        <v>5813</v>
      </c>
      <c r="D93" s="69" t="s">
        <v>132</v>
      </c>
      <c r="E93" s="69">
        <v>9</v>
      </c>
      <c r="F93" s="69">
        <v>40</v>
      </c>
      <c r="G93" s="69">
        <v>24</v>
      </c>
      <c r="H93" s="69">
        <v>2</v>
      </c>
      <c r="I93" s="69">
        <v>0</v>
      </c>
      <c r="J93" s="69">
        <v>0</v>
      </c>
      <c r="K93" s="69">
        <v>5</v>
      </c>
      <c r="L93" s="69">
        <v>53</v>
      </c>
      <c r="M93" s="69">
        <v>0</v>
      </c>
      <c r="N93" s="69">
        <v>6</v>
      </c>
      <c r="O93" s="70">
        <f t="shared" si="7"/>
        <v>139</v>
      </c>
    </row>
    <row r="94" spans="1:15" ht="12.75">
      <c r="A94" s="35"/>
      <c r="B94" s="96"/>
      <c r="C94" s="85">
        <v>5814</v>
      </c>
      <c r="D94" s="69" t="s">
        <v>132</v>
      </c>
      <c r="E94" s="69">
        <v>8</v>
      </c>
      <c r="F94" s="69">
        <v>32</v>
      </c>
      <c r="G94" s="69">
        <v>29</v>
      </c>
      <c r="H94" s="69">
        <v>18</v>
      </c>
      <c r="I94" s="69">
        <v>0</v>
      </c>
      <c r="J94" s="69">
        <v>0</v>
      </c>
      <c r="K94" s="69">
        <v>0</v>
      </c>
      <c r="L94" s="69">
        <v>21</v>
      </c>
      <c r="M94" s="69">
        <v>0</v>
      </c>
      <c r="N94" s="69">
        <v>5</v>
      </c>
      <c r="O94" s="70">
        <f t="shared" si="7"/>
        <v>113</v>
      </c>
    </row>
    <row r="95" spans="1:15" ht="12.75">
      <c r="A95" s="35"/>
      <c r="B95" s="94" t="s">
        <v>135</v>
      </c>
      <c r="C95" s="85"/>
      <c r="D95" s="69"/>
      <c r="E95" s="69">
        <f>SUM(E91:E92)-SUM(E93:E94)</f>
        <v>46</v>
      </c>
      <c r="F95" s="69">
        <f aca="true" t="shared" si="11" ref="F95:N95">SUM(F91:F92)-SUM(F93:F94)</f>
        <v>0</v>
      </c>
      <c r="G95" s="69">
        <f t="shared" si="11"/>
        <v>-24</v>
      </c>
      <c r="H95" s="69">
        <f t="shared" si="11"/>
        <v>-5</v>
      </c>
      <c r="I95" s="69">
        <f t="shared" si="11"/>
        <v>5</v>
      </c>
      <c r="J95" s="69">
        <f t="shared" si="11"/>
        <v>1</v>
      </c>
      <c r="K95" s="69">
        <f t="shared" si="11"/>
        <v>92</v>
      </c>
      <c r="L95" s="69">
        <f t="shared" si="11"/>
        <v>-23</v>
      </c>
      <c r="M95" s="69">
        <f t="shared" si="11"/>
        <v>2</v>
      </c>
      <c r="N95" s="69">
        <f t="shared" si="11"/>
        <v>12</v>
      </c>
      <c r="O95" s="70">
        <f t="shared" si="7"/>
        <v>106</v>
      </c>
    </row>
    <row r="96" spans="1:15" ht="15">
      <c r="A96" s="35">
        <v>123</v>
      </c>
      <c r="B96" s="36" t="s">
        <v>221</v>
      </c>
      <c r="C96" s="85">
        <v>4269</v>
      </c>
      <c r="D96" s="69" t="s">
        <v>132</v>
      </c>
      <c r="E96" s="69">
        <v>18</v>
      </c>
      <c r="F96" s="69">
        <v>36</v>
      </c>
      <c r="G96" s="69">
        <v>42</v>
      </c>
      <c r="H96" s="69">
        <v>3</v>
      </c>
      <c r="I96" s="69">
        <v>29</v>
      </c>
      <c r="J96" s="69">
        <v>0</v>
      </c>
      <c r="K96" s="69">
        <v>0</v>
      </c>
      <c r="L96" s="69">
        <v>3</v>
      </c>
      <c r="M96" s="69">
        <v>0</v>
      </c>
      <c r="N96" s="69">
        <v>4</v>
      </c>
      <c r="O96" s="70">
        <f aca="true" t="shared" si="12" ref="O96:O102">SUM(E96:N96)</f>
        <v>135</v>
      </c>
    </row>
    <row r="97" spans="1:15" ht="12.75">
      <c r="A97" s="35"/>
      <c r="B97" s="96" t="s">
        <v>198</v>
      </c>
      <c r="C97" s="85">
        <v>4271</v>
      </c>
      <c r="D97" s="69" t="s">
        <v>181</v>
      </c>
      <c r="E97" s="69">
        <v>9</v>
      </c>
      <c r="F97" s="69">
        <v>41</v>
      </c>
      <c r="G97" s="69">
        <v>55</v>
      </c>
      <c r="H97" s="69">
        <v>3</v>
      </c>
      <c r="I97" s="69">
        <v>0</v>
      </c>
      <c r="J97" s="69">
        <v>0</v>
      </c>
      <c r="K97" s="69">
        <v>0</v>
      </c>
      <c r="L97" s="69">
        <v>0</v>
      </c>
      <c r="M97" s="69">
        <v>0</v>
      </c>
      <c r="N97" s="69">
        <v>3</v>
      </c>
      <c r="O97" s="70">
        <f t="shared" si="12"/>
        <v>111</v>
      </c>
    </row>
    <row r="98" spans="1:15" ht="12.75">
      <c r="A98" s="35"/>
      <c r="B98" s="96" t="s">
        <v>198</v>
      </c>
      <c r="C98" s="85">
        <v>4288</v>
      </c>
      <c r="D98" s="69" t="s">
        <v>132</v>
      </c>
      <c r="E98" s="69">
        <v>2</v>
      </c>
      <c r="F98" s="69">
        <v>27</v>
      </c>
      <c r="G98" s="69">
        <v>61</v>
      </c>
      <c r="H98" s="69">
        <v>4</v>
      </c>
      <c r="I98" s="69">
        <v>0</v>
      </c>
      <c r="J98" s="69">
        <v>0</v>
      </c>
      <c r="K98" s="69">
        <v>0</v>
      </c>
      <c r="L98" s="69">
        <v>0</v>
      </c>
      <c r="M98" s="69">
        <v>0</v>
      </c>
      <c r="N98" s="69">
        <v>1</v>
      </c>
      <c r="O98" s="70">
        <f t="shared" si="12"/>
        <v>95</v>
      </c>
    </row>
    <row r="99" spans="1:15" ht="12.75">
      <c r="A99" s="35"/>
      <c r="B99" s="96" t="s">
        <v>198</v>
      </c>
      <c r="C99" s="85">
        <v>4289</v>
      </c>
      <c r="D99" s="69" t="s">
        <v>132</v>
      </c>
      <c r="E99" s="69">
        <v>14</v>
      </c>
      <c r="F99" s="69">
        <v>58</v>
      </c>
      <c r="G99" s="69">
        <v>89</v>
      </c>
      <c r="H99" s="69">
        <v>3</v>
      </c>
      <c r="I99" s="69">
        <v>2</v>
      </c>
      <c r="J99" s="69">
        <v>0</v>
      </c>
      <c r="K99" s="69">
        <v>0</v>
      </c>
      <c r="L99" s="69">
        <v>1</v>
      </c>
      <c r="M99" s="69">
        <v>0</v>
      </c>
      <c r="N99" s="69">
        <v>5</v>
      </c>
      <c r="O99" s="70">
        <f t="shared" si="12"/>
        <v>172</v>
      </c>
    </row>
    <row r="100" spans="1:15" ht="12.75">
      <c r="A100" s="35"/>
      <c r="B100" s="96" t="s">
        <v>198</v>
      </c>
      <c r="C100" s="85">
        <v>4318</v>
      </c>
      <c r="D100" s="69" t="s">
        <v>132</v>
      </c>
      <c r="E100" s="69">
        <v>4</v>
      </c>
      <c r="F100" s="69">
        <v>77</v>
      </c>
      <c r="G100" s="69">
        <v>101</v>
      </c>
      <c r="H100" s="69">
        <v>0</v>
      </c>
      <c r="I100" s="69">
        <v>7</v>
      </c>
      <c r="J100" s="69">
        <v>0</v>
      </c>
      <c r="K100" s="69">
        <v>0</v>
      </c>
      <c r="L100" s="69">
        <v>1</v>
      </c>
      <c r="M100" s="69">
        <v>0</v>
      </c>
      <c r="N100" s="69">
        <v>4</v>
      </c>
      <c r="O100" s="70">
        <f t="shared" si="12"/>
        <v>194</v>
      </c>
    </row>
    <row r="101" spans="1:15" ht="12.75">
      <c r="A101" s="35"/>
      <c r="B101" s="96" t="s">
        <v>198</v>
      </c>
      <c r="C101" s="85">
        <v>5930</v>
      </c>
      <c r="D101" s="69" t="s">
        <v>132</v>
      </c>
      <c r="E101" s="69">
        <v>2</v>
      </c>
      <c r="F101" s="69">
        <v>13</v>
      </c>
      <c r="G101" s="69">
        <v>29</v>
      </c>
      <c r="H101" s="69">
        <v>1</v>
      </c>
      <c r="I101" s="69">
        <v>0</v>
      </c>
      <c r="J101" s="69">
        <v>0</v>
      </c>
      <c r="K101" s="69">
        <v>0</v>
      </c>
      <c r="L101" s="69">
        <v>0</v>
      </c>
      <c r="M101" s="69">
        <v>0</v>
      </c>
      <c r="N101" s="69">
        <v>0</v>
      </c>
      <c r="O101" s="70">
        <f t="shared" si="12"/>
        <v>45</v>
      </c>
    </row>
    <row r="102" spans="1:15" ht="12.75">
      <c r="A102" s="71"/>
      <c r="B102" s="97" t="s">
        <v>135</v>
      </c>
      <c r="C102" s="88"/>
      <c r="D102" s="72"/>
      <c r="E102" s="72">
        <f>SUM(E96:E101)</f>
        <v>49</v>
      </c>
      <c r="F102" s="72">
        <f aca="true" t="shared" si="13" ref="F102:N102">SUM(F96:F101)</f>
        <v>252</v>
      </c>
      <c r="G102" s="72">
        <f t="shared" si="13"/>
        <v>377</v>
      </c>
      <c r="H102" s="72">
        <f t="shared" si="13"/>
        <v>14</v>
      </c>
      <c r="I102" s="72">
        <f t="shared" si="13"/>
        <v>38</v>
      </c>
      <c r="J102" s="72">
        <f t="shared" si="13"/>
        <v>0</v>
      </c>
      <c r="K102" s="72">
        <f t="shared" si="13"/>
        <v>0</v>
      </c>
      <c r="L102" s="72">
        <f t="shared" si="13"/>
        <v>5</v>
      </c>
      <c r="M102" s="72">
        <f t="shared" si="13"/>
        <v>0</v>
      </c>
      <c r="N102" s="72">
        <f t="shared" si="13"/>
        <v>17</v>
      </c>
      <c r="O102" s="73">
        <f t="shared" si="12"/>
        <v>752</v>
      </c>
    </row>
    <row r="104" ht="13.5">
      <c r="B104" s="57" t="s">
        <v>119</v>
      </c>
    </row>
    <row r="105" ht="13.5">
      <c r="B105" s="57" t="s">
        <v>224</v>
      </c>
    </row>
    <row r="106" ht="13.5">
      <c r="B106" s="57" t="s">
        <v>225</v>
      </c>
    </row>
  </sheetData>
  <mergeCells count="1">
    <mergeCell ref="A6:B6"/>
  </mergeCells>
  <printOptions/>
  <pageMargins left="0.7874015748031497" right="0.7874015748031497" top="0.43" bottom="0.39" header="0.22" footer="0.21"/>
  <pageSetup fitToHeight="0" fitToWidth="1" horizontalDpi="600" verticalDpi="600" orientation="landscape" scale="74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3"/>
  <sheetViews>
    <sheetView workbookViewId="0" topLeftCell="A1">
      <selection activeCell="C43" sqref="C43"/>
    </sheetView>
  </sheetViews>
  <sheetFormatPr defaultColWidth="11.421875" defaultRowHeight="12.75"/>
  <cols>
    <col min="1" max="1" width="3.7109375" style="0" customWidth="1"/>
    <col min="2" max="2" width="26.140625" style="0" customWidth="1"/>
    <col min="3" max="3" width="8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8.71093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8.7109375" style="0" customWidth="1"/>
    <col min="12" max="12" width="7.7109375" style="0" customWidth="1"/>
    <col min="13" max="13" width="8.7109375" style="0" customWidth="1"/>
    <col min="14" max="14" width="7.7109375" style="0" customWidth="1"/>
    <col min="15" max="15" width="8.7109375" style="0" customWidth="1"/>
    <col min="16" max="16" width="7.7109375" style="0" customWidth="1"/>
    <col min="17" max="17" width="8.7109375" style="0" customWidth="1"/>
    <col min="18" max="18" width="7.7109375" style="0" customWidth="1"/>
    <col min="19" max="19" width="8.7109375" style="0" customWidth="1"/>
    <col min="20" max="20" width="7.7109375" style="0" customWidth="1"/>
    <col min="21" max="23" width="9.7109375" style="0" customWidth="1"/>
    <col min="24" max="24" width="13.28125" style="0" bestFit="1" customWidth="1"/>
    <col min="25" max="25" width="14.140625" style="0" bestFit="1" customWidth="1"/>
    <col min="26" max="26" width="13.28125" style="0" bestFit="1" customWidth="1"/>
    <col min="27" max="27" width="5.421875" style="0" customWidth="1"/>
    <col min="28" max="28" width="10.421875" style="0" bestFit="1" customWidth="1"/>
    <col min="29" max="29" width="10.8515625" style="0" bestFit="1" customWidth="1"/>
  </cols>
  <sheetData>
    <row r="1" spans="1:28" ht="15.75">
      <c r="A1" t="s">
        <v>0</v>
      </c>
      <c r="D1" s="1" t="s">
        <v>1</v>
      </c>
      <c r="W1" s="2"/>
      <c r="X1" s="101"/>
      <c r="Y1" s="101"/>
      <c r="Z1" s="101"/>
      <c r="AA1" s="101"/>
      <c r="AB1" s="3"/>
    </row>
    <row r="2" spans="3:28" ht="15">
      <c r="C2" s="4"/>
      <c r="D2" s="4" t="s">
        <v>2</v>
      </c>
      <c r="W2" s="2" t="s">
        <v>226</v>
      </c>
      <c r="X2" s="101"/>
      <c r="Y2" s="101"/>
      <c r="Z2" s="101"/>
      <c r="AA2" s="101"/>
      <c r="AB2" s="3"/>
    </row>
    <row r="3" spans="3:28" ht="12.75">
      <c r="C3" s="6"/>
      <c r="D3" s="5" t="s">
        <v>231</v>
      </c>
      <c r="W3" s="2"/>
      <c r="X3" s="101"/>
      <c r="Y3" s="101"/>
      <c r="Z3" s="101"/>
      <c r="AA3" s="101"/>
      <c r="AB3" s="3"/>
    </row>
    <row r="4" spans="1:28" ht="20.25">
      <c r="A4" s="7"/>
      <c r="B4" s="8"/>
      <c r="C4" s="7"/>
      <c r="D4" s="102" t="s">
        <v>227</v>
      </c>
      <c r="E4" s="7"/>
      <c r="F4" s="7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10"/>
      <c r="X4" s="101"/>
      <c r="Y4" s="101"/>
      <c r="Z4" s="101"/>
      <c r="AA4" s="101"/>
      <c r="AB4" s="3"/>
    </row>
    <row r="5" spans="1:29" ht="13.5">
      <c r="A5" s="11" t="s">
        <v>230</v>
      </c>
      <c r="B5" s="12"/>
      <c r="C5" s="13" t="s">
        <v>3</v>
      </c>
      <c r="D5" s="14"/>
      <c r="E5" s="13" t="s">
        <v>4</v>
      </c>
      <c r="F5" s="14"/>
      <c r="G5" s="13" t="s">
        <v>5</v>
      </c>
      <c r="H5" s="14"/>
      <c r="I5" s="13" t="s">
        <v>6</v>
      </c>
      <c r="J5" s="14"/>
      <c r="K5" s="13" t="s">
        <v>7</v>
      </c>
      <c r="L5" s="14"/>
      <c r="M5" s="13" t="s">
        <v>8</v>
      </c>
      <c r="N5" s="14"/>
      <c r="O5" s="13" t="s">
        <v>9</v>
      </c>
      <c r="P5" s="14"/>
      <c r="Q5" s="13" t="s">
        <v>10</v>
      </c>
      <c r="R5" s="14"/>
      <c r="S5" s="13" t="s">
        <v>11</v>
      </c>
      <c r="T5" s="14"/>
      <c r="U5" s="103" t="s">
        <v>15</v>
      </c>
      <c r="V5" s="15" t="s">
        <v>15</v>
      </c>
      <c r="W5" s="16" t="s">
        <v>13</v>
      </c>
      <c r="X5" s="63" t="s">
        <v>121</v>
      </c>
      <c r="Y5" s="63" t="s">
        <v>204</v>
      </c>
      <c r="Z5" s="63" t="s">
        <v>121</v>
      </c>
      <c r="AB5" s="17" t="s">
        <v>14</v>
      </c>
      <c r="AC5" s="17"/>
    </row>
    <row r="6" spans="1:29" ht="13.5">
      <c r="A6" s="18"/>
      <c r="B6" s="19"/>
      <c r="C6" s="20" t="s">
        <v>15</v>
      </c>
      <c r="D6" s="21" t="s">
        <v>16</v>
      </c>
      <c r="E6" s="20" t="s">
        <v>15</v>
      </c>
      <c r="F6" s="21" t="s">
        <v>16</v>
      </c>
      <c r="G6" s="20" t="s">
        <v>15</v>
      </c>
      <c r="H6" s="21" t="s">
        <v>16</v>
      </c>
      <c r="I6" s="20" t="s">
        <v>15</v>
      </c>
      <c r="J6" s="21" t="s">
        <v>16</v>
      </c>
      <c r="K6" s="20" t="s">
        <v>15</v>
      </c>
      <c r="L6" s="21" t="s">
        <v>16</v>
      </c>
      <c r="M6" s="20" t="s">
        <v>15</v>
      </c>
      <c r="N6" s="21" t="s">
        <v>16</v>
      </c>
      <c r="O6" s="20" t="s">
        <v>15</v>
      </c>
      <c r="P6" s="21" t="s">
        <v>16</v>
      </c>
      <c r="Q6" s="20" t="s">
        <v>15</v>
      </c>
      <c r="R6" s="21" t="s">
        <v>16</v>
      </c>
      <c r="S6" s="20" t="s">
        <v>15</v>
      </c>
      <c r="T6" s="21" t="s">
        <v>16</v>
      </c>
      <c r="U6" s="104" t="s">
        <v>228</v>
      </c>
      <c r="V6" s="105" t="s">
        <v>229</v>
      </c>
      <c r="W6" s="22"/>
      <c r="X6" s="64" t="s">
        <v>122</v>
      </c>
      <c r="Y6" s="64" t="s">
        <v>199</v>
      </c>
      <c r="Z6" s="64" t="s">
        <v>199</v>
      </c>
      <c r="AB6" s="17" t="s">
        <v>17</v>
      </c>
      <c r="AC6" s="17" t="s">
        <v>18</v>
      </c>
    </row>
    <row r="7" spans="1:26" ht="12.75">
      <c r="A7" s="111" t="s">
        <v>13</v>
      </c>
      <c r="B7" s="112"/>
      <c r="C7" s="23">
        <f>SUM(C8:C131)</f>
        <v>990187</v>
      </c>
      <c r="D7" s="24">
        <f>C7/$U$7</f>
        <v>0.2939089814088701</v>
      </c>
      <c r="E7" s="23">
        <f>SUM(E8:E131)</f>
        <v>1187596</v>
      </c>
      <c r="F7" s="24">
        <f>E7/$U$7</f>
        <v>0.35250425493896453</v>
      </c>
      <c r="G7" s="23">
        <f>SUM(G8:G131)</f>
        <v>834673</v>
      </c>
      <c r="H7" s="24">
        <f>G7/$U$7</f>
        <v>0.2477490526935678</v>
      </c>
      <c r="I7" s="23">
        <f>SUM(I8:I131)</f>
        <v>160759</v>
      </c>
      <c r="J7" s="24">
        <f>I7/$U$7</f>
        <v>0.04771675849340432</v>
      </c>
      <c r="K7" s="23">
        <f>SUM(K8:K131)</f>
        <v>94787</v>
      </c>
      <c r="L7" s="24">
        <f>K7/$U$7</f>
        <v>0.028134837783976734</v>
      </c>
      <c r="M7" s="23">
        <f>SUM(M8:M131)</f>
        <v>26774</v>
      </c>
      <c r="N7" s="24">
        <f>M7/$U$7</f>
        <v>0.007947103999791037</v>
      </c>
      <c r="O7" s="23">
        <f>SUM(O8:O131)</f>
        <v>33513</v>
      </c>
      <c r="P7" s="24">
        <f>O7/$U$7</f>
        <v>0.009947385386755698</v>
      </c>
      <c r="Q7" s="23">
        <f>SUM(Q8:Q131)</f>
        <v>35215</v>
      </c>
      <c r="R7" s="24">
        <f>Q7/$U$7</f>
        <v>0.010452575907695577</v>
      </c>
      <c r="S7" s="23">
        <f>SUM(S8:S131)</f>
        <v>5522</v>
      </c>
      <c r="T7" s="24">
        <f>S7/$U$7</f>
        <v>0.001639049386974158</v>
      </c>
      <c r="U7" s="23">
        <f aca="true" t="shared" si="0" ref="U7:Z7">SUM(U8:U131)</f>
        <v>3369026</v>
      </c>
      <c r="V7" s="23">
        <f t="shared" si="0"/>
        <v>99228</v>
      </c>
      <c r="W7" s="23">
        <f t="shared" si="0"/>
        <v>3468254</v>
      </c>
      <c r="X7" s="59">
        <f t="shared" si="0"/>
        <v>29503</v>
      </c>
      <c r="Y7" s="59">
        <f t="shared" si="0"/>
        <v>2651</v>
      </c>
      <c r="Z7" s="59">
        <f t="shared" si="0"/>
        <v>15039</v>
      </c>
    </row>
    <row r="8" spans="1:29" ht="12.75">
      <c r="A8" s="25">
        <v>1</v>
      </c>
      <c r="B8" s="26" t="s">
        <v>35</v>
      </c>
      <c r="C8" s="27">
        <v>5981</v>
      </c>
      <c r="D8" s="28">
        <f>C8/$U8</f>
        <v>0.3557789542561418</v>
      </c>
      <c r="E8" s="109">
        <v>7691</v>
      </c>
      <c r="F8" s="28">
        <f>E8/$U8</f>
        <v>0.45749806674201415</v>
      </c>
      <c r="G8" s="31">
        <v>1078</v>
      </c>
      <c r="H8" s="28">
        <f>G8/$U8</f>
        <v>0.06412468026887157</v>
      </c>
      <c r="I8" s="107">
        <v>1889</v>
      </c>
      <c r="J8" s="30">
        <f>I8/$U8</f>
        <v>0.11236690262328237</v>
      </c>
      <c r="K8" s="107">
        <v>33</v>
      </c>
      <c r="L8" s="30">
        <f>K8/$U8</f>
        <v>0.0019630004163940277</v>
      </c>
      <c r="M8" s="107">
        <v>63</v>
      </c>
      <c r="N8" s="30">
        <f>M8/$U8</f>
        <v>0.0037475462494795074</v>
      </c>
      <c r="O8" s="107">
        <v>66</v>
      </c>
      <c r="P8" s="30">
        <f>O8/$U8</f>
        <v>0.003926000832788055</v>
      </c>
      <c r="Q8" s="31">
        <v>1</v>
      </c>
      <c r="R8" s="28">
        <f>Q8/$U8</f>
        <v>5.9484861102849326E-05</v>
      </c>
      <c r="S8" s="31">
        <v>9</v>
      </c>
      <c r="T8" s="28">
        <f>S8/$U8</f>
        <v>0.0005353637499256439</v>
      </c>
      <c r="U8" s="31">
        <f>C8+E8+G8+I8+K8+M8+O8+Q8+S8</f>
        <v>16811</v>
      </c>
      <c r="V8" s="31">
        <v>1059</v>
      </c>
      <c r="W8" s="32">
        <f aca="true" t="shared" si="1" ref="W8:W71">C8+E8+G8+I8+K8+M8+O8+Q8+V8+S8</f>
        <v>17870</v>
      </c>
      <c r="X8" s="60">
        <v>0</v>
      </c>
      <c r="Y8" s="60">
        <v>0</v>
      </c>
      <c r="Z8" s="60">
        <v>0</v>
      </c>
      <c r="AA8" s="106"/>
      <c r="AB8" s="33">
        <f>MAX(C8,E8,G8,I8,K8,M8,O8,Q8,S8,V8)</f>
        <v>7691</v>
      </c>
      <c r="AC8" s="34">
        <f>MAX(D8,F8,H8,J8,L8,N8,P8,R8,T8)</f>
        <v>0.45749806674201415</v>
      </c>
    </row>
    <row r="9" spans="1:29" ht="12.75">
      <c r="A9" s="35">
        <v>2</v>
      </c>
      <c r="B9" s="36" t="s">
        <v>36</v>
      </c>
      <c r="C9" s="37">
        <v>3916</v>
      </c>
      <c r="D9" s="30">
        <f aca="true" t="shared" si="2" ref="D9:D72">C9/$U9</f>
        <v>0.20929983965793694</v>
      </c>
      <c r="E9" s="29">
        <v>3971</v>
      </c>
      <c r="F9" s="30">
        <f aca="true" t="shared" si="3" ref="F9:F72">E9/$U9</f>
        <v>0.2122394441475147</v>
      </c>
      <c r="G9" s="107">
        <v>7845</v>
      </c>
      <c r="H9" s="30">
        <f aca="true" t="shared" si="4" ref="H9:H72">G9/$U9</f>
        <v>0.4192944949225013</v>
      </c>
      <c r="I9" s="107">
        <v>499</v>
      </c>
      <c r="J9" s="30">
        <f aca="true" t="shared" si="5" ref="J9:J72">I9/$U9</f>
        <v>0.026670229823623732</v>
      </c>
      <c r="K9" s="107">
        <v>252</v>
      </c>
      <c r="L9" s="30">
        <f aca="true" t="shared" si="6" ref="L9:L72">K9/$U9</f>
        <v>0.013468733297701764</v>
      </c>
      <c r="M9" s="107">
        <v>0</v>
      </c>
      <c r="N9" s="30">
        <f aca="true" t="shared" si="7" ref="N9:N72">M9/$U9</f>
        <v>0</v>
      </c>
      <c r="O9" s="107">
        <v>0</v>
      </c>
      <c r="P9" s="30">
        <f aca="true" t="shared" si="8" ref="P9:P72">O9/$U9</f>
        <v>0</v>
      </c>
      <c r="Q9" s="107">
        <v>2221</v>
      </c>
      <c r="R9" s="30">
        <f aca="true" t="shared" si="9" ref="R9:R72">Q9/$U9</f>
        <v>0.11870657402458579</v>
      </c>
      <c r="S9" s="107">
        <v>6</v>
      </c>
      <c r="T9" s="30">
        <f aca="true" t="shared" si="10" ref="T9:T72">S9/$U9</f>
        <v>0.00032068412613575625</v>
      </c>
      <c r="U9" s="29">
        <f aca="true" t="shared" si="11" ref="U9:U72">C9+E9+G9+I9+K9+M9+O9+Q9+S9</f>
        <v>18710</v>
      </c>
      <c r="V9" s="29">
        <v>505</v>
      </c>
      <c r="W9" s="38">
        <f t="shared" si="1"/>
        <v>19215</v>
      </c>
      <c r="X9" s="61">
        <v>0</v>
      </c>
      <c r="Y9" s="61">
        <v>0</v>
      </c>
      <c r="Z9" s="61">
        <v>0</v>
      </c>
      <c r="AB9" s="33">
        <f aca="true" t="shared" si="12" ref="AB9:AB72">MAX(C9,E9,G9,I9,K9,M9,O9,Q9,S9,V9)</f>
        <v>7845</v>
      </c>
      <c r="AC9" s="34">
        <f aca="true" t="shared" si="13" ref="AC9:AC72">MAX(D9,F9,H9,J9,L9,N9,P9,R9,T9)</f>
        <v>0.4192944949225013</v>
      </c>
    </row>
    <row r="10" spans="1:29" ht="12.75">
      <c r="A10" s="35">
        <v>3</v>
      </c>
      <c r="B10" s="36" t="s">
        <v>37</v>
      </c>
      <c r="C10" s="37">
        <v>4625</v>
      </c>
      <c r="D10" s="30">
        <f t="shared" si="2"/>
        <v>0.3675301970756516</v>
      </c>
      <c r="E10" s="29">
        <v>6514</v>
      </c>
      <c r="F10" s="30">
        <f t="shared" si="3"/>
        <v>0.5176414494596313</v>
      </c>
      <c r="G10" s="107">
        <v>1193</v>
      </c>
      <c r="H10" s="30">
        <f t="shared" si="4"/>
        <v>0.09480292434837889</v>
      </c>
      <c r="I10" s="107">
        <v>101</v>
      </c>
      <c r="J10" s="30">
        <f t="shared" si="5"/>
        <v>0.008026064844246662</v>
      </c>
      <c r="K10" s="107">
        <v>0</v>
      </c>
      <c r="L10" s="30">
        <f t="shared" si="6"/>
        <v>0</v>
      </c>
      <c r="M10" s="107">
        <v>124</v>
      </c>
      <c r="N10" s="30">
        <f t="shared" si="7"/>
        <v>0.009853782581055308</v>
      </c>
      <c r="O10" s="107">
        <v>0</v>
      </c>
      <c r="P10" s="30">
        <f t="shared" si="8"/>
        <v>0</v>
      </c>
      <c r="Q10" s="107">
        <v>24</v>
      </c>
      <c r="R10" s="30">
        <f t="shared" si="9"/>
        <v>0.0019071837253655435</v>
      </c>
      <c r="S10" s="107">
        <v>3</v>
      </c>
      <c r="T10" s="30">
        <f t="shared" si="10"/>
        <v>0.00023839796567069293</v>
      </c>
      <c r="U10" s="29">
        <f t="shared" si="11"/>
        <v>12584</v>
      </c>
      <c r="V10" s="29">
        <v>477</v>
      </c>
      <c r="W10" s="38">
        <f t="shared" si="1"/>
        <v>13061</v>
      </c>
      <c r="X10" s="61">
        <v>0</v>
      </c>
      <c r="Y10" s="61">
        <v>0</v>
      </c>
      <c r="Z10" s="61">
        <v>0</v>
      </c>
      <c r="AB10" s="33">
        <f t="shared" si="12"/>
        <v>6514</v>
      </c>
      <c r="AC10" s="34">
        <f t="shared" si="13"/>
        <v>0.5176414494596313</v>
      </c>
    </row>
    <row r="11" spans="1:29" ht="12.75">
      <c r="A11" s="35">
        <v>4</v>
      </c>
      <c r="B11" s="36" t="s">
        <v>38</v>
      </c>
      <c r="C11" s="37">
        <v>531</v>
      </c>
      <c r="D11" s="30">
        <f t="shared" si="2"/>
        <v>0.10026435045317221</v>
      </c>
      <c r="E11" s="29">
        <v>2967</v>
      </c>
      <c r="F11" s="30">
        <f t="shared" si="3"/>
        <v>0.5602341389728097</v>
      </c>
      <c r="G11" s="107">
        <v>1718</v>
      </c>
      <c r="H11" s="30">
        <f t="shared" si="4"/>
        <v>0.32439577039274925</v>
      </c>
      <c r="I11" s="107">
        <v>44</v>
      </c>
      <c r="J11" s="30">
        <f t="shared" si="5"/>
        <v>0.008308157099697885</v>
      </c>
      <c r="K11" s="107">
        <v>0</v>
      </c>
      <c r="L11" s="30">
        <f t="shared" si="6"/>
        <v>0</v>
      </c>
      <c r="M11" s="107">
        <v>15</v>
      </c>
      <c r="N11" s="30">
        <f t="shared" si="7"/>
        <v>0.0028323262839879152</v>
      </c>
      <c r="O11" s="107">
        <v>20</v>
      </c>
      <c r="P11" s="30">
        <f t="shared" si="8"/>
        <v>0.0037764350453172208</v>
      </c>
      <c r="Q11" s="107">
        <v>0</v>
      </c>
      <c r="R11" s="30">
        <f t="shared" si="9"/>
        <v>0</v>
      </c>
      <c r="S11" s="107">
        <v>1</v>
      </c>
      <c r="T11" s="30">
        <f t="shared" si="10"/>
        <v>0.00018882175226586103</v>
      </c>
      <c r="U11" s="29">
        <f t="shared" si="11"/>
        <v>5296</v>
      </c>
      <c r="V11" s="29">
        <v>130</v>
      </c>
      <c r="W11" s="38">
        <f t="shared" si="1"/>
        <v>5426</v>
      </c>
      <c r="X11" s="61">
        <v>0</v>
      </c>
      <c r="Y11" s="61">
        <v>0</v>
      </c>
      <c r="Z11" s="61">
        <v>0</v>
      </c>
      <c r="AB11" s="33">
        <f t="shared" si="12"/>
        <v>2967</v>
      </c>
      <c r="AC11" s="34">
        <f t="shared" si="13"/>
        <v>0.5602341389728097</v>
      </c>
    </row>
    <row r="12" spans="1:29" ht="12.75">
      <c r="A12" s="35">
        <v>5</v>
      </c>
      <c r="B12" s="36" t="s">
        <v>39</v>
      </c>
      <c r="C12" s="37">
        <v>3736</v>
      </c>
      <c r="D12" s="30">
        <f t="shared" si="2"/>
        <v>0.11161901347435094</v>
      </c>
      <c r="E12" s="29">
        <v>13465</v>
      </c>
      <c r="F12" s="30">
        <f t="shared" si="3"/>
        <v>0.40228854829553945</v>
      </c>
      <c r="G12" s="107">
        <v>9438</v>
      </c>
      <c r="H12" s="30">
        <f t="shared" si="4"/>
        <v>0.2819754414269069</v>
      </c>
      <c r="I12" s="107">
        <v>6281</v>
      </c>
      <c r="J12" s="30">
        <f t="shared" si="5"/>
        <v>0.18765498491231214</v>
      </c>
      <c r="K12" s="107">
        <v>137</v>
      </c>
      <c r="L12" s="30">
        <f t="shared" si="6"/>
        <v>0.004093095515520898</v>
      </c>
      <c r="M12" s="107">
        <v>221</v>
      </c>
      <c r="N12" s="30">
        <f t="shared" si="7"/>
        <v>0.006602730722117654</v>
      </c>
      <c r="O12" s="107">
        <v>0</v>
      </c>
      <c r="P12" s="30">
        <f t="shared" si="8"/>
        <v>0</v>
      </c>
      <c r="Q12" s="107">
        <v>186</v>
      </c>
      <c r="R12" s="30">
        <f t="shared" si="9"/>
        <v>0.005557049386035673</v>
      </c>
      <c r="S12" s="107">
        <v>7</v>
      </c>
      <c r="T12" s="30">
        <f t="shared" si="10"/>
        <v>0.0002091362672163963</v>
      </c>
      <c r="U12" s="29">
        <f t="shared" si="11"/>
        <v>33471</v>
      </c>
      <c r="V12" s="29">
        <v>1467</v>
      </c>
      <c r="W12" s="38">
        <f t="shared" si="1"/>
        <v>34938</v>
      </c>
      <c r="X12" s="61">
        <v>0</v>
      </c>
      <c r="Y12" s="61">
        <v>0</v>
      </c>
      <c r="Z12" s="61">
        <v>0</v>
      </c>
      <c r="AB12" s="33">
        <f t="shared" si="12"/>
        <v>13465</v>
      </c>
      <c r="AC12" s="34">
        <f t="shared" si="13"/>
        <v>0.40228854829553945</v>
      </c>
    </row>
    <row r="13" spans="1:29" ht="12.75">
      <c r="A13" s="35">
        <v>6</v>
      </c>
      <c r="B13" s="36" t="s">
        <v>40</v>
      </c>
      <c r="C13" s="37">
        <v>1231</v>
      </c>
      <c r="D13" s="30">
        <f t="shared" si="2"/>
        <v>0.3556775498410864</v>
      </c>
      <c r="E13" s="29">
        <v>1351</v>
      </c>
      <c r="F13" s="30">
        <f t="shared" si="3"/>
        <v>0.3903496099393239</v>
      </c>
      <c r="G13" s="107">
        <v>474</v>
      </c>
      <c r="H13" s="30">
        <f t="shared" si="4"/>
        <v>0.13695463738803815</v>
      </c>
      <c r="I13" s="107">
        <v>340</v>
      </c>
      <c r="J13" s="30">
        <f t="shared" si="5"/>
        <v>0.09823750361167292</v>
      </c>
      <c r="K13" s="107">
        <v>54</v>
      </c>
      <c r="L13" s="30">
        <f t="shared" si="6"/>
        <v>0.015602427044206876</v>
      </c>
      <c r="M13" s="107">
        <v>9</v>
      </c>
      <c r="N13" s="30">
        <f t="shared" si="7"/>
        <v>0.002600404507367813</v>
      </c>
      <c r="O13" s="107">
        <v>0</v>
      </c>
      <c r="P13" s="30">
        <f t="shared" si="8"/>
        <v>0</v>
      </c>
      <c r="Q13" s="107">
        <v>2</v>
      </c>
      <c r="R13" s="30">
        <f t="shared" si="9"/>
        <v>0.0005778676683039584</v>
      </c>
      <c r="S13" s="107">
        <v>0</v>
      </c>
      <c r="T13" s="30">
        <f t="shared" si="10"/>
        <v>0</v>
      </c>
      <c r="U13" s="29">
        <f t="shared" si="11"/>
        <v>3461</v>
      </c>
      <c r="V13" s="29">
        <v>91</v>
      </c>
      <c r="W13" s="38">
        <f t="shared" si="1"/>
        <v>3552</v>
      </c>
      <c r="X13" s="61">
        <v>0</v>
      </c>
      <c r="Y13" s="61">
        <v>0</v>
      </c>
      <c r="Z13" s="61">
        <v>0</v>
      </c>
      <c r="AB13" s="33">
        <f t="shared" si="12"/>
        <v>1351</v>
      </c>
      <c r="AC13" s="34">
        <f t="shared" si="13"/>
        <v>0.3903496099393239</v>
      </c>
    </row>
    <row r="14" spans="1:29" ht="12.75">
      <c r="A14" s="35">
        <v>7</v>
      </c>
      <c r="B14" s="36" t="s">
        <v>41</v>
      </c>
      <c r="C14" s="37">
        <v>1115</v>
      </c>
      <c r="D14" s="30">
        <f t="shared" si="2"/>
        <v>0.16066282420749278</v>
      </c>
      <c r="E14" s="29">
        <v>3020</v>
      </c>
      <c r="F14" s="30">
        <f t="shared" si="3"/>
        <v>0.43515850144092216</v>
      </c>
      <c r="G14" s="107">
        <v>2655</v>
      </c>
      <c r="H14" s="30">
        <f t="shared" si="4"/>
        <v>0.38256484149855907</v>
      </c>
      <c r="I14" s="107">
        <v>125</v>
      </c>
      <c r="J14" s="30">
        <f t="shared" si="5"/>
        <v>0.018011527377521614</v>
      </c>
      <c r="K14" s="107">
        <v>0</v>
      </c>
      <c r="L14" s="30">
        <f t="shared" si="6"/>
        <v>0</v>
      </c>
      <c r="M14" s="107">
        <v>16</v>
      </c>
      <c r="N14" s="30">
        <f t="shared" si="7"/>
        <v>0.0023054755043227667</v>
      </c>
      <c r="O14" s="107">
        <v>0</v>
      </c>
      <c r="P14" s="30">
        <f t="shared" si="8"/>
        <v>0</v>
      </c>
      <c r="Q14" s="107">
        <v>0</v>
      </c>
      <c r="R14" s="30">
        <f t="shared" si="9"/>
        <v>0</v>
      </c>
      <c r="S14" s="107">
        <v>9</v>
      </c>
      <c r="T14" s="30">
        <f t="shared" si="10"/>
        <v>0.0012968299711815562</v>
      </c>
      <c r="U14" s="29">
        <f t="shared" si="11"/>
        <v>6940</v>
      </c>
      <c r="V14" s="29">
        <v>341</v>
      </c>
      <c r="W14" s="38">
        <f t="shared" si="1"/>
        <v>7281</v>
      </c>
      <c r="X14" s="61">
        <v>0</v>
      </c>
      <c r="Y14" s="61">
        <v>0</v>
      </c>
      <c r="Z14" s="61">
        <v>0</v>
      </c>
      <c r="AB14" s="33">
        <f t="shared" si="12"/>
        <v>3020</v>
      </c>
      <c r="AC14" s="34">
        <f t="shared" si="13"/>
        <v>0.43515850144092216</v>
      </c>
    </row>
    <row r="15" spans="1:29" ht="15">
      <c r="A15" s="35">
        <v>8</v>
      </c>
      <c r="B15" s="110" t="s">
        <v>138</v>
      </c>
      <c r="C15" s="37">
        <v>389</v>
      </c>
      <c r="D15" s="30">
        <f t="shared" si="2"/>
        <v>0.03671196677991695</v>
      </c>
      <c r="E15" s="29">
        <v>4932</v>
      </c>
      <c r="F15" s="30">
        <f t="shared" si="3"/>
        <v>0.4654586636466591</v>
      </c>
      <c r="G15" s="107">
        <v>5062</v>
      </c>
      <c r="H15" s="30">
        <f t="shared" si="4"/>
        <v>0.4777274443186108</v>
      </c>
      <c r="I15" s="107">
        <v>111</v>
      </c>
      <c r="J15" s="30">
        <f t="shared" si="5"/>
        <v>0.010475651189127973</v>
      </c>
      <c r="K15" s="107">
        <v>2</v>
      </c>
      <c r="L15" s="30">
        <f t="shared" si="6"/>
        <v>0.00018875047187617969</v>
      </c>
      <c r="M15" s="107">
        <v>24</v>
      </c>
      <c r="N15" s="30">
        <f t="shared" si="7"/>
        <v>0.0022650056625141564</v>
      </c>
      <c r="O15" s="107">
        <v>59</v>
      </c>
      <c r="P15" s="30">
        <f t="shared" si="8"/>
        <v>0.005568138920347301</v>
      </c>
      <c r="Q15" s="107">
        <v>3</v>
      </c>
      <c r="R15" s="30">
        <f t="shared" si="9"/>
        <v>0.00028312570781426955</v>
      </c>
      <c r="S15" s="107">
        <v>14</v>
      </c>
      <c r="T15" s="30">
        <f t="shared" si="10"/>
        <v>0.0013212533031332577</v>
      </c>
      <c r="U15" s="29">
        <f t="shared" si="11"/>
        <v>10596</v>
      </c>
      <c r="V15" s="29">
        <v>313</v>
      </c>
      <c r="W15" s="38">
        <f t="shared" si="1"/>
        <v>10909</v>
      </c>
      <c r="X15" s="61">
        <f>'Cas anuladas TEEM'!O8</f>
        <v>396</v>
      </c>
      <c r="Y15" s="61">
        <v>0</v>
      </c>
      <c r="Z15" s="61">
        <v>0</v>
      </c>
      <c r="AB15" s="33">
        <f t="shared" si="12"/>
        <v>5062</v>
      </c>
      <c r="AC15" s="34">
        <f t="shared" si="13"/>
        <v>0.4777274443186108</v>
      </c>
    </row>
    <row r="16" spans="1:29" ht="12.75">
      <c r="A16" s="35">
        <v>9</v>
      </c>
      <c r="B16" s="36" t="s">
        <v>32</v>
      </c>
      <c r="C16" s="37">
        <v>5777</v>
      </c>
      <c r="D16" s="30">
        <f t="shared" si="2"/>
        <v>0.37728578892371994</v>
      </c>
      <c r="E16" s="29">
        <v>3795</v>
      </c>
      <c r="F16" s="30">
        <f t="shared" si="3"/>
        <v>0.2478448275862069</v>
      </c>
      <c r="G16" s="107">
        <v>4316</v>
      </c>
      <c r="H16" s="30">
        <f t="shared" si="4"/>
        <v>0.28187042842215254</v>
      </c>
      <c r="I16" s="107">
        <v>777</v>
      </c>
      <c r="J16" s="30">
        <f t="shared" si="5"/>
        <v>0.05074451410658307</v>
      </c>
      <c r="K16" s="107">
        <v>479</v>
      </c>
      <c r="L16" s="30">
        <f t="shared" si="6"/>
        <v>0.03128265412748171</v>
      </c>
      <c r="M16" s="107">
        <v>43</v>
      </c>
      <c r="N16" s="30">
        <f t="shared" si="7"/>
        <v>0.0028082549634273774</v>
      </c>
      <c r="O16" s="107">
        <v>61</v>
      </c>
      <c r="P16" s="30">
        <f t="shared" si="8"/>
        <v>0.00398380355276907</v>
      </c>
      <c r="Q16" s="107">
        <v>63</v>
      </c>
      <c r="R16" s="30">
        <f t="shared" si="9"/>
        <v>0.0041144200626959246</v>
      </c>
      <c r="S16" s="107">
        <v>1</v>
      </c>
      <c r="T16" s="30">
        <f t="shared" si="10"/>
        <v>6.530825496342738E-05</v>
      </c>
      <c r="U16" s="29">
        <f t="shared" si="11"/>
        <v>15312</v>
      </c>
      <c r="V16" s="29">
        <v>542</v>
      </c>
      <c r="W16" s="38">
        <f t="shared" si="1"/>
        <v>15854</v>
      </c>
      <c r="X16" s="61">
        <v>0</v>
      </c>
      <c r="Y16" s="61">
        <v>0</v>
      </c>
      <c r="Z16" s="61">
        <v>0</v>
      </c>
      <c r="AB16" s="33">
        <f t="shared" si="12"/>
        <v>5777</v>
      </c>
      <c r="AC16" s="34">
        <f t="shared" si="13"/>
        <v>0.37728578892371994</v>
      </c>
    </row>
    <row r="17" spans="1:29" ht="12.75">
      <c r="A17" s="35">
        <v>10</v>
      </c>
      <c r="B17" s="36" t="s">
        <v>42</v>
      </c>
      <c r="C17" s="37">
        <v>2323</v>
      </c>
      <c r="D17" s="30">
        <f t="shared" si="2"/>
        <v>0.29234835137175935</v>
      </c>
      <c r="E17" s="29">
        <v>3246</v>
      </c>
      <c r="F17" s="30">
        <f t="shared" si="3"/>
        <v>0.408507425119557</v>
      </c>
      <c r="G17" s="107">
        <v>1917</v>
      </c>
      <c r="H17" s="30">
        <f t="shared" si="4"/>
        <v>0.24125346086081048</v>
      </c>
      <c r="I17" s="107">
        <v>37</v>
      </c>
      <c r="J17" s="30">
        <f t="shared" si="5"/>
        <v>0.004656430908633275</v>
      </c>
      <c r="K17" s="107">
        <v>0</v>
      </c>
      <c r="L17" s="30">
        <f t="shared" si="6"/>
        <v>0</v>
      </c>
      <c r="M17" s="107">
        <v>0</v>
      </c>
      <c r="N17" s="30">
        <f t="shared" si="7"/>
        <v>0</v>
      </c>
      <c r="O17" s="107">
        <v>346</v>
      </c>
      <c r="P17" s="30">
        <f t="shared" si="8"/>
        <v>0.043543921469921976</v>
      </c>
      <c r="Q17" s="107">
        <v>77</v>
      </c>
      <c r="R17" s="30">
        <f t="shared" si="9"/>
        <v>0.009690410269317896</v>
      </c>
      <c r="S17" s="107">
        <v>0</v>
      </c>
      <c r="T17" s="30">
        <f t="shared" si="10"/>
        <v>0</v>
      </c>
      <c r="U17" s="29">
        <f t="shared" si="11"/>
        <v>7946</v>
      </c>
      <c r="V17" s="29">
        <v>120</v>
      </c>
      <c r="W17" s="38">
        <f t="shared" si="1"/>
        <v>8066</v>
      </c>
      <c r="X17" s="61">
        <v>0</v>
      </c>
      <c r="Y17" s="61">
        <v>0</v>
      </c>
      <c r="Z17" s="61">
        <v>0</v>
      </c>
      <c r="AB17" s="33">
        <f t="shared" si="12"/>
        <v>3246</v>
      </c>
      <c r="AC17" s="34">
        <f t="shared" si="13"/>
        <v>0.408507425119557</v>
      </c>
    </row>
    <row r="18" spans="1:29" ht="15">
      <c r="A18" s="35">
        <v>11</v>
      </c>
      <c r="B18" s="110" t="s">
        <v>185</v>
      </c>
      <c r="C18" s="37">
        <v>315</v>
      </c>
      <c r="D18" s="30">
        <f t="shared" si="2"/>
        <v>0.07707364815267922</v>
      </c>
      <c r="E18" s="29">
        <v>2719</v>
      </c>
      <c r="F18" s="30">
        <f t="shared" si="3"/>
        <v>0.6652801565940788</v>
      </c>
      <c r="G18" s="107">
        <v>795</v>
      </c>
      <c r="H18" s="30">
        <f t="shared" si="4"/>
        <v>0.19451920724247615</v>
      </c>
      <c r="I18" s="107">
        <v>145</v>
      </c>
      <c r="J18" s="30">
        <f t="shared" si="5"/>
        <v>0.03547834597504282</v>
      </c>
      <c r="K18" s="107">
        <v>0</v>
      </c>
      <c r="L18" s="30">
        <f t="shared" si="6"/>
        <v>0</v>
      </c>
      <c r="M18" s="107">
        <v>0</v>
      </c>
      <c r="N18" s="30">
        <f t="shared" si="7"/>
        <v>0</v>
      </c>
      <c r="O18" s="107">
        <v>112</v>
      </c>
      <c r="P18" s="30">
        <f t="shared" si="8"/>
        <v>0.027403963787619282</v>
      </c>
      <c r="Q18" s="107">
        <v>0</v>
      </c>
      <c r="R18" s="30">
        <f t="shared" si="9"/>
        <v>0</v>
      </c>
      <c r="S18" s="107">
        <v>1</v>
      </c>
      <c r="T18" s="30">
        <f t="shared" si="10"/>
        <v>0.00024467824810374357</v>
      </c>
      <c r="U18" s="29">
        <f t="shared" si="11"/>
        <v>4087</v>
      </c>
      <c r="V18" s="29">
        <v>120</v>
      </c>
      <c r="W18" s="38">
        <f t="shared" si="1"/>
        <v>4207</v>
      </c>
      <c r="X18" s="61">
        <f>'Cas anuladas TEEM'!O21</f>
        <v>158</v>
      </c>
      <c r="Y18" s="61">
        <v>0</v>
      </c>
      <c r="Z18" s="61">
        <v>0</v>
      </c>
      <c r="AB18" s="33"/>
      <c r="AC18" s="34"/>
    </row>
    <row r="19" spans="1:29" ht="12.75">
      <c r="A19" s="35">
        <v>12</v>
      </c>
      <c r="B19" s="36" t="s">
        <v>43</v>
      </c>
      <c r="C19" s="37">
        <v>632</v>
      </c>
      <c r="D19" s="30">
        <f t="shared" si="2"/>
        <v>0.22824124232574936</v>
      </c>
      <c r="E19" s="29">
        <v>648</v>
      </c>
      <c r="F19" s="30">
        <f t="shared" si="3"/>
        <v>0.23401950162513543</v>
      </c>
      <c r="G19" s="107">
        <v>400</v>
      </c>
      <c r="H19" s="30">
        <f t="shared" si="4"/>
        <v>0.1444564824846515</v>
      </c>
      <c r="I19" s="107">
        <v>1079</v>
      </c>
      <c r="J19" s="30">
        <f t="shared" si="5"/>
        <v>0.38967136150234744</v>
      </c>
      <c r="K19" s="107">
        <v>0</v>
      </c>
      <c r="L19" s="30">
        <f t="shared" si="6"/>
        <v>0</v>
      </c>
      <c r="M19" s="107">
        <v>9</v>
      </c>
      <c r="N19" s="30">
        <f t="shared" si="7"/>
        <v>0.0032502708559046588</v>
      </c>
      <c r="O19" s="107">
        <v>0</v>
      </c>
      <c r="P19" s="30">
        <f t="shared" si="8"/>
        <v>0</v>
      </c>
      <c r="Q19" s="107">
        <v>0</v>
      </c>
      <c r="R19" s="30">
        <f t="shared" si="9"/>
        <v>0</v>
      </c>
      <c r="S19" s="107">
        <v>1</v>
      </c>
      <c r="T19" s="30">
        <f t="shared" si="10"/>
        <v>0.00036114120621162876</v>
      </c>
      <c r="U19" s="29">
        <f t="shared" si="11"/>
        <v>2769</v>
      </c>
      <c r="V19" s="29">
        <v>73</v>
      </c>
      <c r="W19" s="38">
        <f t="shared" si="1"/>
        <v>2842</v>
      </c>
      <c r="X19" s="61">
        <v>0</v>
      </c>
      <c r="Y19" s="61">
        <v>0</v>
      </c>
      <c r="Z19" s="61">
        <v>0</v>
      </c>
      <c r="AB19" s="33">
        <f t="shared" si="12"/>
        <v>1079</v>
      </c>
      <c r="AC19" s="34">
        <f t="shared" si="13"/>
        <v>0.38967136150234744</v>
      </c>
    </row>
    <row r="20" spans="1:29" ht="12.75">
      <c r="A20" s="35">
        <v>13</v>
      </c>
      <c r="B20" s="36" t="s">
        <v>28</v>
      </c>
      <c r="C20" s="37">
        <v>50261</v>
      </c>
      <c r="D20" s="30">
        <f t="shared" si="2"/>
        <v>0.45069045911047345</v>
      </c>
      <c r="E20" s="29">
        <v>35221</v>
      </c>
      <c r="F20" s="30">
        <f t="shared" si="3"/>
        <v>0.31582675753228123</v>
      </c>
      <c r="G20" s="107">
        <v>18436</v>
      </c>
      <c r="H20" s="30">
        <f t="shared" si="4"/>
        <v>0.16531563845050215</v>
      </c>
      <c r="I20" s="107">
        <v>1465</v>
      </c>
      <c r="J20" s="30">
        <f t="shared" si="5"/>
        <v>0.013136657101865136</v>
      </c>
      <c r="K20" s="107">
        <v>1897</v>
      </c>
      <c r="L20" s="30">
        <f t="shared" si="6"/>
        <v>0.017010401721664275</v>
      </c>
      <c r="M20" s="107">
        <v>436</v>
      </c>
      <c r="N20" s="30">
        <f t="shared" si="7"/>
        <v>0.0039096126255380205</v>
      </c>
      <c r="O20" s="107">
        <v>2955</v>
      </c>
      <c r="P20" s="30">
        <f t="shared" si="8"/>
        <v>0.026497489239598278</v>
      </c>
      <c r="Q20" s="107">
        <v>638</v>
      </c>
      <c r="R20" s="30">
        <f t="shared" si="9"/>
        <v>0.005720946915351507</v>
      </c>
      <c r="S20" s="107">
        <v>211</v>
      </c>
      <c r="T20" s="30">
        <f t="shared" si="10"/>
        <v>0.0018920373027259685</v>
      </c>
      <c r="U20" s="29">
        <f t="shared" si="11"/>
        <v>111520</v>
      </c>
      <c r="V20" s="29">
        <v>3014</v>
      </c>
      <c r="W20" s="38">
        <f t="shared" si="1"/>
        <v>114534</v>
      </c>
      <c r="X20" s="61">
        <v>0</v>
      </c>
      <c r="Y20" s="61">
        <v>0</v>
      </c>
      <c r="Z20" s="61">
        <v>0</v>
      </c>
      <c r="AB20" s="33">
        <f t="shared" si="12"/>
        <v>50261</v>
      </c>
      <c r="AC20" s="34">
        <f t="shared" si="13"/>
        <v>0.45069045911047345</v>
      </c>
    </row>
    <row r="21" spans="1:29" ht="12.75">
      <c r="A21" s="35">
        <v>14</v>
      </c>
      <c r="B21" s="36" t="s">
        <v>27</v>
      </c>
      <c r="C21" s="37">
        <v>7202</v>
      </c>
      <c r="D21" s="30">
        <f t="shared" si="2"/>
        <v>0.33276348010904216</v>
      </c>
      <c r="E21" s="29">
        <v>12689</v>
      </c>
      <c r="F21" s="30">
        <f t="shared" si="3"/>
        <v>0.586286559164626</v>
      </c>
      <c r="G21" s="107">
        <v>1183</v>
      </c>
      <c r="H21" s="30">
        <f t="shared" si="4"/>
        <v>0.054659705216467215</v>
      </c>
      <c r="I21" s="107">
        <v>188</v>
      </c>
      <c r="J21" s="30">
        <f t="shared" si="5"/>
        <v>0.00868641131081643</v>
      </c>
      <c r="K21" s="107">
        <v>117</v>
      </c>
      <c r="L21" s="30">
        <f t="shared" si="6"/>
        <v>0.005405904911518736</v>
      </c>
      <c r="M21" s="107">
        <v>63</v>
      </c>
      <c r="N21" s="30">
        <f t="shared" si="7"/>
        <v>0.0029108718754331654</v>
      </c>
      <c r="O21" s="107">
        <v>69</v>
      </c>
      <c r="P21" s="30">
        <f t="shared" si="8"/>
        <v>0.003188097768331562</v>
      </c>
      <c r="Q21" s="107">
        <v>131</v>
      </c>
      <c r="R21" s="30">
        <f t="shared" si="9"/>
        <v>0.006052765328281661</v>
      </c>
      <c r="S21" s="107">
        <v>1</v>
      </c>
      <c r="T21" s="30">
        <f t="shared" si="10"/>
        <v>4.620431548306612E-05</v>
      </c>
      <c r="U21" s="29">
        <f t="shared" si="11"/>
        <v>21643</v>
      </c>
      <c r="V21" s="29">
        <v>763</v>
      </c>
      <c r="W21" s="38">
        <f t="shared" si="1"/>
        <v>22406</v>
      </c>
      <c r="X21" s="61">
        <v>0</v>
      </c>
      <c r="Y21" s="61">
        <v>0</v>
      </c>
      <c r="Z21" s="61">
        <v>0</v>
      </c>
      <c r="AB21" s="33">
        <f t="shared" si="12"/>
        <v>12689</v>
      </c>
      <c r="AC21" s="34">
        <f t="shared" si="13"/>
        <v>0.586286559164626</v>
      </c>
    </row>
    <row r="22" spans="1:29" ht="15">
      <c r="A22" s="35">
        <v>15</v>
      </c>
      <c r="B22" s="110" t="s">
        <v>186</v>
      </c>
      <c r="C22" s="37">
        <v>1292</v>
      </c>
      <c r="D22" s="30">
        <f t="shared" si="2"/>
        <v>0.17212896349586998</v>
      </c>
      <c r="E22" s="29">
        <v>2159</v>
      </c>
      <c r="F22" s="30">
        <f t="shared" si="3"/>
        <v>0.2876365574207301</v>
      </c>
      <c r="G22" s="107">
        <v>1140</v>
      </c>
      <c r="H22" s="30">
        <f t="shared" si="4"/>
        <v>0.1518784972022382</v>
      </c>
      <c r="I22" s="107">
        <v>130</v>
      </c>
      <c r="J22" s="30">
        <f t="shared" si="5"/>
        <v>0.017319477751132427</v>
      </c>
      <c r="K22" s="107">
        <v>339</v>
      </c>
      <c r="L22" s="30">
        <f t="shared" si="6"/>
        <v>0.0451638689048761</v>
      </c>
      <c r="M22" s="107">
        <v>29</v>
      </c>
      <c r="N22" s="30">
        <f t="shared" si="7"/>
        <v>0.0038635758060218493</v>
      </c>
      <c r="O22" s="107">
        <v>1208</v>
      </c>
      <c r="P22" s="30">
        <f t="shared" si="8"/>
        <v>0.16093791633359977</v>
      </c>
      <c r="Q22" s="107">
        <v>1176</v>
      </c>
      <c r="R22" s="30">
        <f t="shared" si="9"/>
        <v>0.15667466027178256</v>
      </c>
      <c r="S22" s="107">
        <v>33</v>
      </c>
      <c r="T22" s="30">
        <f t="shared" si="10"/>
        <v>0.004396482813749001</v>
      </c>
      <c r="U22" s="29">
        <f t="shared" si="11"/>
        <v>7506</v>
      </c>
      <c r="V22" s="29">
        <v>292</v>
      </c>
      <c r="W22" s="38">
        <f t="shared" si="1"/>
        <v>7798</v>
      </c>
      <c r="X22" s="61">
        <f>'Cas anuladas TEEM'!O22</f>
        <v>338</v>
      </c>
      <c r="Y22" s="61">
        <v>0</v>
      </c>
      <c r="Z22" s="61">
        <v>0</v>
      </c>
      <c r="AB22" s="33">
        <f t="shared" si="12"/>
        <v>2159</v>
      </c>
      <c r="AC22" s="34">
        <f t="shared" si="13"/>
        <v>0.2876365574207301</v>
      </c>
    </row>
    <row r="23" spans="1:29" ht="12.75">
      <c r="A23" s="35">
        <v>16</v>
      </c>
      <c r="B23" s="36" t="s">
        <v>44</v>
      </c>
      <c r="C23" s="37">
        <v>2010</v>
      </c>
      <c r="D23" s="30">
        <f t="shared" si="2"/>
        <v>0.26555687673404677</v>
      </c>
      <c r="E23" s="29">
        <v>3446</v>
      </c>
      <c r="F23" s="30">
        <f t="shared" si="3"/>
        <v>0.4552781080724006</v>
      </c>
      <c r="G23" s="107">
        <v>1718</v>
      </c>
      <c r="H23" s="30">
        <f t="shared" si="4"/>
        <v>0.22697846479059322</v>
      </c>
      <c r="I23" s="107">
        <v>111</v>
      </c>
      <c r="J23" s="30">
        <f t="shared" si="5"/>
        <v>0.01466508125247721</v>
      </c>
      <c r="K23" s="107">
        <v>0</v>
      </c>
      <c r="L23" s="30">
        <f t="shared" si="6"/>
        <v>0</v>
      </c>
      <c r="M23" s="107">
        <v>9</v>
      </c>
      <c r="N23" s="30">
        <f t="shared" si="7"/>
        <v>0.0011890606420927466</v>
      </c>
      <c r="O23" s="107">
        <v>38</v>
      </c>
      <c r="P23" s="30">
        <f t="shared" si="8"/>
        <v>0.00502047826661382</v>
      </c>
      <c r="Q23" s="107">
        <v>237</v>
      </c>
      <c r="R23" s="30">
        <f t="shared" si="9"/>
        <v>0.031311930241775664</v>
      </c>
      <c r="S23" s="107">
        <v>0</v>
      </c>
      <c r="T23" s="30">
        <f t="shared" si="10"/>
        <v>0</v>
      </c>
      <c r="U23" s="29">
        <f t="shared" si="11"/>
        <v>7569</v>
      </c>
      <c r="V23" s="29">
        <v>176</v>
      </c>
      <c r="W23" s="38">
        <f t="shared" si="1"/>
        <v>7745</v>
      </c>
      <c r="X23" s="61">
        <v>0</v>
      </c>
      <c r="Y23" s="61">
        <v>0</v>
      </c>
      <c r="Z23" s="61">
        <v>0</v>
      </c>
      <c r="AB23" s="33">
        <f t="shared" si="12"/>
        <v>3446</v>
      </c>
      <c r="AC23" s="34">
        <f t="shared" si="13"/>
        <v>0.4552781080724006</v>
      </c>
    </row>
    <row r="24" spans="1:29" ht="12.75">
      <c r="A24" s="35">
        <v>17</v>
      </c>
      <c r="B24" s="36" t="s">
        <v>45</v>
      </c>
      <c r="C24" s="37">
        <v>164</v>
      </c>
      <c r="D24" s="30">
        <f t="shared" si="2"/>
        <v>0.07017543859649122</v>
      </c>
      <c r="E24" s="29">
        <v>1074</v>
      </c>
      <c r="F24" s="30">
        <f t="shared" si="3"/>
        <v>0.4595635430038511</v>
      </c>
      <c r="G24" s="107">
        <v>192</v>
      </c>
      <c r="H24" s="30">
        <f t="shared" si="4"/>
        <v>0.0821566110397946</v>
      </c>
      <c r="I24" s="107">
        <v>906</v>
      </c>
      <c r="J24" s="30">
        <f t="shared" si="5"/>
        <v>0.38767650834403083</v>
      </c>
      <c r="K24" s="107">
        <v>0</v>
      </c>
      <c r="L24" s="30">
        <f t="shared" si="6"/>
        <v>0</v>
      </c>
      <c r="M24" s="107">
        <v>0</v>
      </c>
      <c r="N24" s="30">
        <f t="shared" si="7"/>
        <v>0</v>
      </c>
      <c r="O24" s="107">
        <v>0</v>
      </c>
      <c r="P24" s="30">
        <f t="shared" si="8"/>
        <v>0</v>
      </c>
      <c r="Q24" s="107">
        <v>0</v>
      </c>
      <c r="R24" s="30">
        <f t="shared" si="9"/>
        <v>0</v>
      </c>
      <c r="S24" s="107">
        <v>1</v>
      </c>
      <c r="T24" s="30">
        <f t="shared" si="10"/>
        <v>0.0004278990158322636</v>
      </c>
      <c r="U24" s="29">
        <f t="shared" si="11"/>
        <v>2337</v>
      </c>
      <c r="V24" s="29">
        <v>154</v>
      </c>
      <c r="W24" s="38">
        <f t="shared" si="1"/>
        <v>2491</v>
      </c>
      <c r="X24" s="61">
        <v>0</v>
      </c>
      <c r="Y24" s="61">
        <v>0</v>
      </c>
      <c r="Z24" s="61">
        <v>0</v>
      </c>
      <c r="AB24" s="33">
        <f t="shared" si="12"/>
        <v>1074</v>
      </c>
      <c r="AC24" s="34">
        <f t="shared" si="13"/>
        <v>0.4595635430038511</v>
      </c>
    </row>
    <row r="25" spans="1:29" ht="15">
      <c r="A25" s="35">
        <v>18</v>
      </c>
      <c r="B25" s="110" t="s">
        <v>125</v>
      </c>
      <c r="C25" s="37">
        <v>2440</v>
      </c>
      <c r="D25" s="30">
        <f t="shared" si="2"/>
        <v>0.21182394305061203</v>
      </c>
      <c r="E25" s="29">
        <v>5195</v>
      </c>
      <c r="F25" s="30">
        <f t="shared" si="3"/>
        <v>0.4509940098966924</v>
      </c>
      <c r="G25" s="107">
        <v>2181</v>
      </c>
      <c r="H25" s="30">
        <f t="shared" si="4"/>
        <v>0.18933935237433805</v>
      </c>
      <c r="I25" s="107">
        <v>471</v>
      </c>
      <c r="J25" s="30">
        <f t="shared" si="5"/>
        <v>0.040888966056081257</v>
      </c>
      <c r="K25" s="107">
        <v>0</v>
      </c>
      <c r="L25" s="30">
        <f t="shared" si="6"/>
        <v>0</v>
      </c>
      <c r="M25" s="107">
        <v>1175</v>
      </c>
      <c r="N25" s="30">
        <f t="shared" si="7"/>
        <v>0.10200538241166768</v>
      </c>
      <c r="O25" s="107">
        <v>54</v>
      </c>
      <c r="P25" s="30">
        <f t="shared" si="8"/>
        <v>0.004687906936366004</v>
      </c>
      <c r="Q25" s="107">
        <v>0</v>
      </c>
      <c r="R25" s="30">
        <f t="shared" si="9"/>
        <v>0</v>
      </c>
      <c r="S25" s="107">
        <v>3</v>
      </c>
      <c r="T25" s="30">
        <f t="shared" si="10"/>
        <v>0.00026043927424255575</v>
      </c>
      <c r="U25" s="29">
        <f t="shared" si="11"/>
        <v>11519</v>
      </c>
      <c r="V25" s="29">
        <v>388</v>
      </c>
      <c r="W25" s="38">
        <f t="shared" si="1"/>
        <v>11907</v>
      </c>
      <c r="X25" s="61">
        <f>'Cas anuladas TEEM'!O23</f>
        <v>341</v>
      </c>
      <c r="Y25" s="61">
        <v>0</v>
      </c>
      <c r="Z25" s="61">
        <v>0</v>
      </c>
      <c r="AB25" s="33">
        <f t="shared" si="12"/>
        <v>5195</v>
      </c>
      <c r="AC25" s="34">
        <f t="shared" si="13"/>
        <v>0.4509940098966924</v>
      </c>
    </row>
    <row r="26" spans="1:29" ht="15">
      <c r="A26" s="35">
        <v>19</v>
      </c>
      <c r="B26" s="110" t="s">
        <v>212</v>
      </c>
      <c r="C26" s="37">
        <v>947</v>
      </c>
      <c r="D26" s="30">
        <f t="shared" si="2"/>
        <v>0.1499129333544404</v>
      </c>
      <c r="E26" s="29">
        <v>2532</v>
      </c>
      <c r="F26" s="30">
        <f t="shared" si="3"/>
        <v>0.40082317555801805</v>
      </c>
      <c r="G26" s="107">
        <v>2355</v>
      </c>
      <c r="H26" s="30">
        <f t="shared" si="4"/>
        <v>0.37280354598701915</v>
      </c>
      <c r="I26" s="107">
        <v>116</v>
      </c>
      <c r="J26" s="30">
        <f t="shared" si="5"/>
        <v>0.0183631470634795</v>
      </c>
      <c r="K26" s="107">
        <v>292</v>
      </c>
      <c r="L26" s="30">
        <f t="shared" si="6"/>
        <v>0.04622447364255185</v>
      </c>
      <c r="M26" s="107">
        <v>10</v>
      </c>
      <c r="N26" s="30">
        <f t="shared" si="7"/>
        <v>0.0015830299192654742</v>
      </c>
      <c r="O26" s="107">
        <v>0</v>
      </c>
      <c r="P26" s="30">
        <f t="shared" si="8"/>
        <v>0</v>
      </c>
      <c r="Q26" s="107">
        <v>65</v>
      </c>
      <c r="R26" s="30">
        <f t="shared" si="9"/>
        <v>0.010289694475225581</v>
      </c>
      <c r="S26" s="107">
        <v>0</v>
      </c>
      <c r="T26" s="30">
        <f t="shared" si="10"/>
        <v>0</v>
      </c>
      <c r="U26" s="29">
        <f t="shared" si="11"/>
        <v>6317</v>
      </c>
      <c r="V26" s="29">
        <v>149</v>
      </c>
      <c r="W26" s="38">
        <f t="shared" si="1"/>
        <v>6466</v>
      </c>
      <c r="X26" s="61">
        <v>0</v>
      </c>
      <c r="Y26" s="61">
        <v>0</v>
      </c>
      <c r="Z26" s="61">
        <f>-'Cas anuladas TEPJF'!O9</f>
        <v>443</v>
      </c>
      <c r="AB26" s="33">
        <f t="shared" si="12"/>
        <v>2532</v>
      </c>
      <c r="AC26" s="34">
        <f t="shared" si="13"/>
        <v>0.40082317555801805</v>
      </c>
    </row>
    <row r="27" spans="1:29" ht="15">
      <c r="A27" s="35">
        <v>20</v>
      </c>
      <c r="B27" s="110" t="s">
        <v>171</v>
      </c>
      <c r="C27" s="37">
        <v>27976</v>
      </c>
      <c r="D27" s="30">
        <f t="shared" si="2"/>
        <v>0.40937692060054437</v>
      </c>
      <c r="E27" s="29">
        <v>26440</v>
      </c>
      <c r="F27" s="30">
        <f t="shared" si="3"/>
        <v>0.38690040680148674</v>
      </c>
      <c r="G27" s="107">
        <v>9753</v>
      </c>
      <c r="H27" s="30">
        <f t="shared" si="4"/>
        <v>0.14271708273581316</v>
      </c>
      <c r="I27" s="107">
        <v>1502</v>
      </c>
      <c r="J27" s="30">
        <f t="shared" si="5"/>
        <v>0.021978986800901403</v>
      </c>
      <c r="K27" s="107">
        <v>704</v>
      </c>
      <c r="L27" s="30">
        <f t="shared" si="6"/>
        <v>0.010301735491234745</v>
      </c>
      <c r="M27" s="107">
        <v>1002</v>
      </c>
      <c r="N27" s="30">
        <f t="shared" si="7"/>
        <v>0.014662413298603998</v>
      </c>
      <c r="O27" s="107">
        <v>498</v>
      </c>
      <c r="P27" s="30">
        <f t="shared" si="8"/>
        <v>0.007287307208288215</v>
      </c>
      <c r="Q27" s="107">
        <v>459</v>
      </c>
      <c r="R27" s="30">
        <f t="shared" si="9"/>
        <v>0.006716614475109017</v>
      </c>
      <c r="S27" s="107">
        <v>4</v>
      </c>
      <c r="T27" s="30">
        <f t="shared" si="10"/>
        <v>5.8532588018379236E-05</v>
      </c>
      <c r="U27" s="29">
        <f t="shared" si="11"/>
        <v>68338</v>
      </c>
      <c r="V27" s="29">
        <v>1402</v>
      </c>
      <c r="W27" s="38">
        <f t="shared" si="1"/>
        <v>69740</v>
      </c>
      <c r="X27" s="61">
        <f>'Cas anuladas TEEM'!O24</f>
        <v>371</v>
      </c>
      <c r="Y27" s="61">
        <f>'Cas anuladas TEPJF'!O10</f>
        <v>371</v>
      </c>
      <c r="Z27" s="61">
        <v>0</v>
      </c>
      <c r="AB27" s="33">
        <f t="shared" si="12"/>
        <v>27976</v>
      </c>
      <c r="AC27" s="34">
        <f t="shared" si="13"/>
        <v>0.40937692060054437</v>
      </c>
    </row>
    <row r="28" spans="1:29" ht="12.75">
      <c r="A28" s="35">
        <v>21</v>
      </c>
      <c r="B28" s="36" t="s">
        <v>46</v>
      </c>
      <c r="C28" s="37">
        <v>1392</v>
      </c>
      <c r="D28" s="30">
        <f t="shared" si="2"/>
        <v>0.14974182444061962</v>
      </c>
      <c r="E28" s="29">
        <v>2851</v>
      </c>
      <c r="F28" s="30">
        <f t="shared" si="3"/>
        <v>0.30669104991394147</v>
      </c>
      <c r="G28" s="107">
        <v>1563</v>
      </c>
      <c r="H28" s="30">
        <f t="shared" si="4"/>
        <v>0.1681368330464716</v>
      </c>
      <c r="I28" s="107">
        <v>3119</v>
      </c>
      <c r="J28" s="30">
        <f t="shared" si="5"/>
        <v>0.33552065404475045</v>
      </c>
      <c r="K28" s="107">
        <v>0</v>
      </c>
      <c r="L28" s="30">
        <f t="shared" si="6"/>
        <v>0</v>
      </c>
      <c r="M28" s="107">
        <v>24</v>
      </c>
      <c r="N28" s="30">
        <f t="shared" si="7"/>
        <v>0.0025817555938037868</v>
      </c>
      <c r="O28" s="107">
        <v>0</v>
      </c>
      <c r="P28" s="30">
        <f t="shared" si="8"/>
        <v>0</v>
      </c>
      <c r="Q28" s="107">
        <v>345</v>
      </c>
      <c r="R28" s="30">
        <f t="shared" si="9"/>
        <v>0.03711273666092943</v>
      </c>
      <c r="S28" s="107">
        <v>2</v>
      </c>
      <c r="T28" s="30">
        <f t="shared" si="10"/>
        <v>0.0002151462994836489</v>
      </c>
      <c r="U28" s="29">
        <f t="shared" si="11"/>
        <v>9296</v>
      </c>
      <c r="V28" s="29">
        <v>452</v>
      </c>
      <c r="W28" s="38">
        <f t="shared" si="1"/>
        <v>9748</v>
      </c>
      <c r="X28" s="61">
        <v>0</v>
      </c>
      <c r="Y28" s="61">
        <v>0</v>
      </c>
      <c r="Z28" s="61">
        <v>0</v>
      </c>
      <c r="AB28" s="33">
        <f t="shared" si="12"/>
        <v>3119</v>
      </c>
      <c r="AC28" s="34">
        <f t="shared" si="13"/>
        <v>0.33552065404475045</v>
      </c>
    </row>
    <row r="29" spans="1:29" ht="12.75">
      <c r="A29" s="35">
        <v>22</v>
      </c>
      <c r="B29" s="36" t="s">
        <v>47</v>
      </c>
      <c r="C29" s="37">
        <v>342</v>
      </c>
      <c r="D29" s="30">
        <f t="shared" si="2"/>
        <v>0.07783340919435594</v>
      </c>
      <c r="E29" s="29">
        <v>861</v>
      </c>
      <c r="F29" s="30">
        <f t="shared" si="3"/>
        <v>0.19594902139280837</v>
      </c>
      <c r="G29" s="107">
        <v>565</v>
      </c>
      <c r="H29" s="30">
        <f t="shared" si="4"/>
        <v>0.12858443331816113</v>
      </c>
      <c r="I29" s="107">
        <v>299</v>
      </c>
      <c r="J29" s="30">
        <f t="shared" si="5"/>
        <v>0.06804733727810651</v>
      </c>
      <c r="K29" s="107">
        <v>1341</v>
      </c>
      <c r="L29" s="30">
        <f t="shared" si="6"/>
        <v>0.3051888939462904</v>
      </c>
      <c r="M29" s="107">
        <v>17</v>
      </c>
      <c r="N29" s="30">
        <f t="shared" si="7"/>
        <v>0.0038689121529358215</v>
      </c>
      <c r="O29" s="107">
        <v>969</v>
      </c>
      <c r="P29" s="30">
        <f t="shared" si="8"/>
        <v>0.22052799271734183</v>
      </c>
      <c r="Q29" s="107">
        <v>0</v>
      </c>
      <c r="R29" s="30">
        <f t="shared" si="9"/>
        <v>0</v>
      </c>
      <c r="S29" s="107">
        <v>0</v>
      </c>
      <c r="T29" s="30">
        <f t="shared" si="10"/>
        <v>0</v>
      </c>
      <c r="U29" s="29">
        <f t="shared" si="11"/>
        <v>4394</v>
      </c>
      <c r="V29" s="29">
        <v>77</v>
      </c>
      <c r="W29" s="38">
        <f t="shared" si="1"/>
        <v>4471</v>
      </c>
      <c r="X29" s="61">
        <v>0</v>
      </c>
      <c r="Y29" s="61">
        <v>0</v>
      </c>
      <c r="Z29" s="61">
        <v>0</v>
      </c>
      <c r="AB29" s="33">
        <f t="shared" si="12"/>
        <v>1341</v>
      </c>
      <c r="AC29" s="34">
        <f t="shared" si="13"/>
        <v>0.3051888939462904</v>
      </c>
    </row>
    <row r="30" spans="1:29" ht="12.75">
      <c r="A30" s="35">
        <v>23</v>
      </c>
      <c r="B30" s="36" t="s">
        <v>48</v>
      </c>
      <c r="C30" s="37">
        <v>2108</v>
      </c>
      <c r="D30" s="30">
        <f t="shared" si="2"/>
        <v>0.1845561197688671</v>
      </c>
      <c r="E30" s="29">
        <v>1814</v>
      </c>
      <c r="F30" s="30">
        <f t="shared" si="3"/>
        <v>0.1588163193836456</v>
      </c>
      <c r="G30" s="107">
        <v>1004</v>
      </c>
      <c r="H30" s="30">
        <f t="shared" si="4"/>
        <v>0.08790054281211697</v>
      </c>
      <c r="I30" s="107">
        <v>557</v>
      </c>
      <c r="J30" s="30">
        <f t="shared" si="5"/>
        <v>0.04876554018560672</v>
      </c>
      <c r="K30" s="107">
        <v>4411</v>
      </c>
      <c r="L30" s="30">
        <f t="shared" si="6"/>
        <v>0.3861845561197689</v>
      </c>
      <c r="M30" s="107">
        <v>0</v>
      </c>
      <c r="N30" s="30">
        <f t="shared" si="7"/>
        <v>0</v>
      </c>
      <c r="O30" s="107">
        <v>1514</v>
      </c>
      <c r="P30" s="30">
        <f t="shared" si="8"/>
        <v>0.13255121694974611</v>
      </c>
      <c r="Q30" s="107">
        <v>0</v>
      </c>
      <c r="R30" s="30">
        <f t="shared" si="9"/>
        <v>0</v>
      </c>
      <c r="S30" s="107">
        <v>14</v>
      </c>
      <c r="T30" s="30">
        <f t="shared" si="10"/>
        <v>0.001225704780248643</v>
      </c>
      <c r="U30" s="29">
        <f t="shared" si="11"/>
        <v>11422</v>
      </c>
      <c r="V30" s="29">
        <v>334</v>
      </c>
      <c r="W30" s="38">
        <f t="shared" si="1"/>
        <v>11756</v>
      </c>
      <c r="X30" s="61">
        <v>0</v>
      </c>
      <c r="Y30" s="61">
        <v>0</v>
      </c>
      <c r="Z30" s="61">
        <v>0</v>
      </c>
      <c r="AB30" s="33">
        <f t="shared" si="12"/>
        <v>4411</v>
      </c>
      <c r="AC30" s="34">
        <f t="shared" si="13"/>
        <v>0.3861845561197689</v>
      </c>
    </row>
    <row r="31" spans="1:29" ht="15">
      <c r="A31" s="35">
        <v>24</v>
      </c>
      <c r="B31" s="110" t="s">
        <v>158</v>
      </c>
      <c r="C31" s="37">
        <v>7044</v>
      </c>
      <c r="D31" s="30">
        <f t="shared" si="2"/>
        <v>0.3406683754896745</v>
      </c>
      <c r="E31" s="29">
        <v>7659</v>
      </c>
      <c r="F31" s="30">
        <f t="shared" si="3"/>
        <v>0.3704115684093437</v>
      </c>
      <c r="G31" s="107">
        <v>1425</v>
      </c>
      <c r="H31" s="30">
        <f t="shared" si="4"/>
        <v>0.06891715432606277</v>
      </c>
      <c r="I31" s="107">
        <v>3247</v>
      </c>
      <c r="J31" s="30">
        <f t="shared" si="5"/>
        <v>0.15703438603279005</v>
      </c>
      <c r="K31" s="107">
        <v>984</v>
      </c>
      <c r="L31" s="30">
        <f t="shared" si="6"/>
        <v>0.04758910867147072</v>
      </c>
      <c r="M31" s="107">
        <v>202</v>
      </c>
      <c r="N31" s="30">
        <f t="shared" si="7"/>
        <v>0.009769308893940126</v>
      </c>
      <c r="O31" s="107">
        <v>112</v>
      </c>
      <c r="P31" s="30">
        <f t="shared" si="8"/>
        <v>0.005416646515451952</v>
      </c>
      <c r="Q31" s="107">
        <v>0</v>
      </c>
      <c r="R31" s="30">
        <f t="shared" si="9"/>
        <v>0</v>
      </c>
      <c r="S31" s="107">
        <v>4</v>
      </c>
      <c r="T31" s="30">
        <f t="shared" si="10"/>
        <v>0.00019345166126614113</v>
      </c>
      <c r="U31" s="29">
        <f t="shared" si="11"/>
        <v>20677</v>
      </c>
      <c r="V31" s="29">
        <v>421</v>
      </c>
      <c r="W31" s="38">
        <f t="shared" si="1"/>
        <v>21098</v>
      </c>
      <c r="X31" s="61">
        <f>'Cas anuladas TEEM'!O25</f>
        <v>303</v>
      </c>
      <c r="Y31" s="61">
        <v>0</v>
      </c>
      <c r="Z31" s="61">
        <v>0</v>
      </c>
      <c r="AB31" s="33">
        <f t="shared" si="12"/>
        <v>7659</v>
      </c>
      <c r="AC31" s="34">
        <f t="shared" si="13"/>
        <v>0.3704115684093437</v>
      </c>
    </row>
    <row r="32" spans="1:29" ht="15">
      <c r="A32" s="35">
        <v>25</v>
      </c>
      <c r="B32" s="110" t="s">
        <v>192</v>
      </c>
      <c r="C32" s="37">
        <v>56912</v>
      </c>
      <c r="D32" s="30">
        <f t="shared" si="2"/>
        <v>0.47036265661674764</v>
      </c>
      <c r="E32" s="29">
        <v>40345</v>
      </c>
      <c r="F32" s="30">
        <f t="shared" si="3"/>
        <v>0.33344077490164964</v>
      </c>
      <c r="G32" s="107">
        <v>13459</v>
      </c>
      <c r="H32" s="30">
        <f t="shared" si="4"/>
        <v>0.11123508215147608</v>
      </c>
      <c r="I32" s="107">
        <v>6285</v>
      </c>
      <c r="J32" s="30">
        <f t="shared" si="5"/>
        <v>0.05194386591292274</v>
      </c>
      <c r="K32" s="107">
        <v>1133</v>
      </c>
      <c r="L32" s="30">
        <f t="shared" si="6"/>
        <v>0.009363945915567457</v>
      </c>
      <c r="M32" s="107">
        <v>891</v>
      </c>
      <c r="N32" s="30">
        <f t="shared" si="7"/>
        <v>0.007363879797679262</v>
      </c>
      <c r="O32" s="107">
        <v>1374</v>
      </c>
      <c r="P32" s="30">
        <f t="shared" si="8"/>
        <v>0.01135574729743132</v>
      </c>
      <c r="Q32" s="107">
        <v>568</v>
      </c>
      <c r="R32" s="30">
        <f t="shared" si="9"/>
        <v>0.004694370061820226</v>
      </c>
      <c r="S32" s="107">
        <v>29</v>
      </c>
      <c r="T32" s="30">
        <f t="shared" si="10"/>
        <v>0.0002396773447056101</v>
      </c>
      <c r="U32" s="29">
        <f t="shared" si="11"/>
        <v>120996</v>
      </c>
      <c r="V32" s="29">
        <v>2393</v>
      </c>
      <c r="W32" s="38">
        <f t="shared" si="1"/>
        <v>123389</v>
      </c>
      <c r="X32" s="61">
        <f>'Cas anuladas TEEM'!O31</f>
        <v>1306</v>
      </c>
      <c r="Y32" s="61">
        <v>0</v>
      </c>
      <c r="Z32" s="61">
        <v>0</v>
      </c>
      <c r="AB32" s="33">
        <f t="shared" si="12"/>
        <v>56912</v>
      </c>
      <c r="AC32" s="34">
        <f t="shared" si="13"/>
        <v>0.47036265661674764</v>
      </c>
    </row>
    <row r="33" spans="1:29" ht="15">
      <c r="A33" s="35">
        <v>26</v>
      </c>
      <c r="B33" s="110" t="s">
        <v>162</v>
      </c>
      <c r="C33" s="37">
        <v>7709</v>
      </c>
      <c r="D33" s="30">
        <f t="shared" si="2"/>
        <v>0.17930408894264316</v>
      </c>
      <c r="E33" s="29">
        <v>16105</v>
      </c>
      <c r="F33" s="30">
        <f t="shared" si="3"/>
        <v>0.37458715169558543</v>
      </c>
      <c r="G33" s="107">
        <v>16105</v>
      </c>
      <c r="H33" s="30">
        <f t="shared" si="4"/>
        <v>0.37458715169558543</v>
      </c>
      <c r="I33" s="107">
        <v>1439</v>
      </c>
      <c r="J33" s="30">
        <f t="shared" si="5"/>
        <v>0.03346978648183468</v>
      </c>
      <c r="K33" s="107">
        <v>240</v>
      </c>
      <c r="L33" s="30">
        <f t="shared" si="6"/>
        <v>0.005582174256873052</v>
      </c>
      <c r="M33" s="107">
        <v>0</v>
      </c>
      <c r="N33" s="30">
        <f t="shared" si="7"/>
        <v>0</v>
      </c>
      <c r="O33" s="107">
        <v>954</v>
      </c>
      <c r="P33" s="30">
        <f t="shared" si="8"/>
        <v>0.022189142671070382</v>
      </c>
      <c r="Q33" s="107">
        <v>190</v>
      </c>
      <c r="R33" s="30">
        <f t="shared" si="9"/>
        <v>0.0044192212866911666</v>
      </c>
      <c r="S33" s="107">
        <v>252</v>
      </c>
      <c r="T33" s="30">
        <f t="shared" si="10"/>
        <v>0.005861282969716704</v>
      </c>
      <c r="U33" s="29">
        <f t="shared" si="11"/>
        <v>42994</v>
      </c>
      <c r="V33" s="29">
        <v>1083</v>
      </c>
      <c r="W33" s="38">
        <f t="shared" si="1"/>
        <v>44077</v>
      </c>
      <c r="X33" s="61">
        <f>'Cas anuladas TEEM'!O42</f>
        <v>2243</v>
      </c>
      <c r="Y33" s="61">
        <f>'Cas anuladas TEPJF'!O11</f>
        <v>284</v>
      </c>
      <c r="Z33" s="61">
        <f>'Cas anuladas TEPJF'!O12+'Cas anuladas TEPJF'!O13-'Cas anuladas TEPJF'!O14-'Cas anuladas TEPJF'!O15</f>
        <v>551</v>
      </c>
      <c r="AB33" s="33"/>
      <c r="AC33" s="34"/>
    </row>
    <row r="34" spans="1:29" ht="12.75">
      <c r="A34" s="35">
        <v>27</v>
      </c>
      <c r="B34" s="36" t="s">
        <v>49</v>
      </c>
      <c r="C34" s="37">
        <v>2800</v>
      </c>
      <c r="D34" s="30">
        <f t="shared" si="2"/>
        <v>0.33262057495842245</v>
      </c>
      <c r="E34" s="29">
        <v>3149</v>
      </c>
      <c r="F34" s="30">
        <f t="shared" si="3"/>
        <v>0.3740793537657401</v>
      </c>
      <c r="G34" s="107">
        <v>1080</v>
      </c>
      <c r="H34" s="30">
        <f t="shared" si="4"/>
        <v>0.12829650748396293</v>
      </c>
      <c r="I34" s="107">
        <v>1277</v>
      </c>
      <c r="J34" s="30">
        <f t="shared" si="5"/>
        <v>0.15169874079353765</v>
      </c>
      <c r="K34" s="107">
        <v>0</v>
      </c>
      <c r="L34" s="30">
        <f t="shared" si="6"/>
        <v>0</v>
      </c>
      <c r="M34" s="107">
        <v>12</v>
      </c>
      <c r="N34" s="30">
        <f t="shared" si="7"/>
        <v>0.0014255167498218105</v>
      </c>
      <c r="O34" s="107">
        <v>58</v>
      </c>
      <c r="P34" s="30">
        <f t="shared" si="8"/>
        <v>0.00688999762413875</v>
      </c>
      <c r="Q34" s="107">
        <v>42</v>
      </c>
      <c r="R34" s="30">
        <f t="shared" si="9"/>
        <v>0.004989308624376337</v>
      </c>
      <c r="S34" s="107">
        <v>0</v>
      </c>
      <c r="T34" s="30">
        <f t="shared" si="10"/>
        <v>0</v>
      </c>
      <c r="U34" s="29">
        <f t="shared" si="11"/>
        <v>8418</v>
      </c>
      <c r="V34" s="29">
        <v>389</v>
      </c>
      <c r="W34" s="38">
        <f t="shared" si="1"/>
        <v>8807</v>
      </c>
      <c r="X34" s="61">
        <v>0</v>
      </c>
      <c r="Y34" s="61">
        <v>0</v>
      </c>
      <c r="Z34" s="61">
        <v>0</v>
      </c>
      <c r="AB34" s="33">
        <f t="shared" si="12"/>
        <v>3149</v>
      </c>
      <c r="AC34" s="34">
        <f t="shared" si="13"/>
        <v>0.3740793537657401</v>
      </c>
    </row>
    <row r="35" spans="1:29" ht="12.75">
      <c r="A35" s="35">
        <v>28</v>
      </c>
      <c r="B35" s="36" t="s">
        <v>50</v>
      </c>
      <c r="C35" s="37">
        <v>1004</v>
      </c>
      <c r="D35" s="30">
        <f t="shared" si="2"/>
        <v>0.4200836820083682</v>
      </c>
      <c r="E35" s="29">
        <v>987</v>
      </c>
      <c r="F35" s="30">
        <f t="shared" si="3"/>
        <v>0.41297071129707114</v>
      </c>
      <c r="G35" s="107">
        <v>231</v>
      </c>
      <c r="H35" s="30">
        <f t="shared" si="4"/>
        <v>0.09665271966527196</v>
      </c>
      <c r="I35" s="107">
        <v>128</v>
      </c>
      <c r="J35" s="30">
        <f t="shared" si="5"/>
        <v>0.05355648535564853</v>
      </c>
      <c r="K35" s="107">
        <v>28</v>
      </c>
      <c r="L35" s="30">
        <f t="shared" si="6"/>
        <v>0.011715481171548118</v>
      </c>
      <c r="M35" s="107">
        <v>3</v>
      </c>
      <c r="N35" s="30">
        <f t="shared" si="7"/>
        <v>0.0012552301255230125</v>
      </c>
      <c r="O35" s="107">
        <v>6</v>
      </c>
      <c r="P35" s="30">
        <f t="shared" si="8"/>
        <v>0.002510460251046025</v>
      </c>
      <c r="Q35" s="107">
        <v>3</v>
      </c>
      <c r="R35" s="30">
        <f t="shared" si="9"/>
        <v>0.0012552301255230125</v>
      </c>
      <c r="S35" s="107">
        <v>0</v>
      </c>
      <c r="T35" s="30">
        <f t="shared" si="10"/>
        <v>0</v>
      </c>
      <c r="U35" s="29">
        <f t="shared" si="11"/>
        <v>2390</v>
      </c>
      <c r="V35" s="29">
        <v>60</v>
      </c>
      <c r="W35" s="38">
        <f t="shared" si="1"/>
        <v>2450</v>
      </c>
      <c r="X35" s="61">
        <v>0</v>
      </c>
      <c r="Y35" s="61">
        <v>0</v>
      </c>
      <c r="Z35" s="61">
        <v>0</v>
      </c>
      <c r="AB35" s="33">
        <f t="shared" si="12"/>
        <v>1004</v>
      </c>
      <c r="AC35" s="34">
        <f t="shared" si="13"/>
        <v>0.4200836820083682</v>
      </c>
    </row>
    <row r="36" spans="1:29" ht="12.75">
      <c r="A36" s="35">
        <v>29</v>
      </c>
      <c r="B36" s="36" t="s">
        <v>51</v>
      </c>
      <c r="C36" s="37">
        <v>368</v>
      </c>
      <c r="D36" s="30">
        <f t="shared" si="2"/>
        <v>0.04849123731716959</v>
      </c>
      <c r="E36" s="29">
        <v>2933</v>
      </c>
      <c r="F36" s="30">
        <f t="shared" si="3"/>
        <v>0.3864804322045065</v>
      </c>
      <c r="G36" s="107">
        <v>1808</v>
      </c>
      <c r="H36" s="30">
        <f t="shared" si="4"/>
        <v>0.23823955725392015</v>
      </c>
      <c r="I36" s="107">
        <v>2329</v>
      </c>
      <c r="J36" s="30">
        <f t="shared" si="5"/>
        <v>0.3068915535643695</v>
      </c>
      <c r="K36" s="107">
        <v>0</v>
      </c>
      <c r="L36" s="30">
        <f t="shared" si="6"/>
        <v>0</v>
      </c>
      <c r="M36" s="107">
        <v>0</v>
      </c>
      <c r="N36" s="30">
        <f t="shared" si="7"/>
        <v>0</v>
      </c>
      <c r="O36" s="107">
        <v>103</v>
      </c>
      <c r="P36" s="30">
        <f t="shared" si="8"/>
        <v>0.013572275662142575</v>
      </c>
      <c r="Q36" s="107">
        <v>48</v>
      </c>
      <c r="R36" s="30">
        <f t="shared" si="9"/>
        <v>0.0063249439978916855</v>
      </c>
      <c r="S36" s="107">
        <v>0</v>
      </c>
      <c r="T36" s="30">
        <f t="shared" si="10"/>
        <v>0</v>
      </c>
      <c r="U36" s="29">
        <f t="shared" si="11"/>
        <v>7589</v>
      </c>
      <c r="V36" s="29">
        <v>104</v>
      </c>
      <c r="W36" s="38">
        <f t="shared" si="1"/>
        <v>7693</v>
      </c>
      <c r="X36" s="61">
        <v>0</v>
      </c>
      <c r="Y36" s="61">
        <v>0</v>
      </c>
      <c r="Z36" s="61">
        <v>0</v>
      </c>
      <c r="AB36" s="33">
        <f t="shared" si="12"/>
        <v>2933</v>
      </c>
      <c r="AC36" s="34">
        <f t="shared" si="13"/>
        <v>0.3864804322045065</v>
      </c>
    </row>
    <row r="37" spans="1:29" ht="12.75">
      <c r="A37" s="35">
        <v>30</v>
      </c>
      <c r="B37" s="36" t="s">
        <v>52</v>
      </c>
      <c r="C37" s="37">
        <v>2356</v>
      </c>
      <c r="D37" s="30">
        <f t="shared" si="2"/>
        <v>0.09880478087649402</v>
      </c>
      <c r="E37" s="29">
        <v>8939</v>
      </c>
      <c r="F37" s="30">
        <f t="shared" si="3"/>
        <v>0.37487942964982174</v>
      </c>
      <c r="G37" s="107">
        <v>11068</v>
      </c>
      <c r="H37" s="30">
        <f t="shared" si="4"/>
        <v>0.46416439505137347</v>
      </c>
      <c r="I37" s="107">
        <v>598</v>
      </c>
      <c r="J37" s="30">
        <f t="shared" si="5"/>
        <v>0.025078632837072762</v>
      </c>
      <c r="K37" s="107">
        <v>232</v>
      </c>
      <c r="L37" s="30">
        <f t="shared" si="6"/>
        <v>0.009729503040469701</v>
      </c>
      <c r="M37" s="107">
        <v>12</v>
      </c>
      <c r="N37" s="30">
        <f t="shared" si="7"/>
        <v>0.0005032501572656741</v>
      </c>
      <c r="O37" s="107">
        <v>506</v>
      </c>
      <c r="P37" s="30">
        <f t="shared" si="8"/>
        <v>0.02122038163136926</v>
      </c>
      <c r="Q37" s="107">
        <v>128</v>
      </c>
      <c r="R37" s="30">
        <f t="shared" si="9"/>
        <v>0.005368001677500524</v>
      </c>
      <c r="S37" s="107">
        <v>6</v>
      </c>
      <c r="T37" s="30">
        <f t="shared" si="10"/>
        <v>0.00025162507863283706</v>
      </c>
      <c r="U37" s="29">
        <f t="shared" si="11"/>
        <v>23845</v>
      </c>
      <c r="V37" s="29">
        <v>620</v>
      </c>
      <c r="W37" s="38">
        <f t="shared" si="1"/>
        <v>24465</v>
      </c>
      <c r="X37" s="61">
        <v>0</v>
      </c>
      <c r="Y37" s="61">
        <v>0</v>
      </c>
      <c r="Z37" s="61">
        <v>0</v>
      </c>
      <c r="AB37" s="33">
        <f t="shared" si="12"/>
        <v>11068</v>
      </c>
      <c r="AC37" s="34">
        <f t="shared" si="13"/>
        <v>0.46416439505137347</v>
      </c>
    </row>
    <row r="38" spans="1:29" ht="12.75">
      <c r="A38" s="35">
        <v>31</v>
      </c>
      <c r="B38" s="36" t="s">
        <v>53</v>
      </c>
      <c r="C38" s="37">
        <v>548</v>
      </c>
      <c r="D38" s="30">
        <f t="shared" si="2"/>
        <v>0.0832700197538368</v>
      </c>
      <c r="E38" s="29">
        <v>929</v>
      </c>
      <c r="F38" s="30">
        <f t="shared" si="3"/>
        <v>0.1411639568454642</v>
      </c>
      <c r="G38" s="107">
        <v>1262</v>
      </c>
      <c r="H38" s="30">
        <f t="shared" si="4"/>
        <v>0.19176416957909131</v>
      </c>
      <c r="I38" s="107">
        <v>1903</v>
      </c>
      <c r="J38" s="30">
        <f t="shared" si="5"/>
        <v>0.2891657802765537</v>
      </c>
      <c r="K38" s="107">
        <v>1813</v>
      </c>
      <c r="L38" s="30">
        <f t="shared" si="6"/>
        <v>0.27549004710530317</v>
      </c>
      <c r="M38" s="107">
        <v>0</v>
      </c>
      <c r="N38" s="30">
        <f t="shared" si="7"/>
        <v>0</v>
      </c>
      <c r="O38" s="107">
        <v>126</v>
      </c>
      <c r="P38" s="30">
        <f t="shared" si="8"/>
        <v>0.0191460264397508</v>
      </c>
      <c r="Q38" s="107">
        <v>0</v>
      </c>
      <c r="R38" s="30">
        <f t="shared" si="9"/>
        <v>0</v>
      </c>
      <c r="S38" s="107">
        <v>0</v>
      </c>
      <c r="T38" s="30">
        <f t="shared" si="10"/>
        <v>0</v>
      </c>
      <c r="U38" s="29">
        <f t="shared" si="11"/>
        <v>6581</v>
      </c>
      <c r="V38" s="29">
        <v>98</v>
      </c>
      <c r="W38" s="38">
        <f t="shared" si="1"/>
        <v>6679</v>
      </c>
      <c r="X38" s="61">
        <v>0</v>
      </c>
      <c r="Y38" s="61">
        <v>0</v>
      </c>
      <c r="Z38" s="61">
        <v>0</v>
      </c>
      <c r="AB38" s="33">
        <f t="shared" si="12"/>
        <v>1903</v>
      </c>
      <c r="AC38" s="34">
        <f t="shared" si="13"/>
        <v>0.2891657802765537</v>
      </c>
    </row>
    <row r="39" spans="1:29" ht="12.75">
      <c r="A39" s="35">
        <v>32</v>
      </c>
      <c r="B39" s="36" t="s">
        <v>54</v>
      </c>
      <c r="C39" s="37">
        <v>7029</v>
      </c>
      <c r="D39" s="30">
        <f t="shared" si="2"/>
        <v>0.08815782872623289</v>
      </c>
      <c r="E39" s="29">
        <v>35771</v>
      </c>
      <c r="F39" s="30">
        <f t="shared" si="3"/>
        <v>0.44864044549239956</v>
      </c>
      <c r="G39" s="107">
        <v>14218</v>
      </c>
      <c r="H39" s="30">
        <f t="shared" si="4"/>
        <v>0.17832237997290926</v>
      </c>
      <c r="I39" s="107">
        <v>1578</v>
      </c>
      <c r="J39" s="30">
        <f t="shared" si="5"/>
        <v>0.019791300857873877</v>
      </c>
      <c r="K39" s="107">
        <v>18477</v>
      </c>
      <c r="L39" s="30">
        <f t="shared" si="6"/>
        <v>0.2317388250639643</v>
      </c>
      <c r="M39" s="107">
        <v>651</v>
      </c>
      <c r="N39" s="30">
        <f t="shared" si="7"/>
        <v>0.008164852255054433</v>
      </c>
      <c r="O39" s="107">
        <v>567</v>
      </c>
      <c r="P39" s="30">
        <f t="shared" si="8"/>
        <v>0.007111322931821602</v>
      </c>
      <c r="Q39" s="107">
        <v>826</v>
      </c>
      <c r="R39" s="30">
        <f t="shared" si="9"/>
        <v>0.010359705011789495</v>
      </c>
      <c r="S39" s="107">
        <v>615</v>
      </c>
      <c r="T39" s="30">
        <f t="shared" si="10"/>
        <v>0.007713339687954648</v>
      </c>
      <c r="U39" s="29">
        <f t="shared" si="11"/>
        <v>79732</v>
      </c>
      <c r="V39" s="29">
        <v>2837</v>
      </c>
      <c r="W39" s="38">
        <f t="shared" si="1"/>
        <v>82569</v>
      </c>
      <c r="X39" s="61">
        <v>0</v>
      </c>
      <c r="Y39" s="61">
        <v>0</v>
      </c>
      <c r="Z39" s="61">
        <v>0</v>
      </c>
      <c r="AB39" s="33">
        <f t="shared" si="12"/>
        <v>35771</v>
      </c>
      <c r="AC39" s="34">
        <f t="shared" si="13"/>
        <v>0.44864044549239956</v>
      </c>
    </row>
    <row r="40" spans="1:29" ht="12.75">
      <c r="A40" s="35">
        <v>33</v>
      </c>
      <c r="B40" s="36" t="s">
        <v>55</v>
      </c>
      <c r="C40" s="37">
        <v>426</v>
      </c>
      <c r="D40" s="30">
        <f t="shared" si="2"/>
        <v>0.04475730195419206</v>
      </c>
      <c r="E40" s="29">
        <v>4182</v>
      </c>
      <c r="F40" s="30">
        <f t="shared" si="3"/>
        <v>0.4393780205925615</v>
      </c>
      <c r="G40" s="107">
        <v>4821</v>
      </c>
      <c r="H40" s="30">
        <f t="shared" si="4"/>
        <v>0.5065139735238495</v>
      </c>
      <c r="I40" s="107">
        <v>69</v>
      </c>
      <c r="J40" s="30">
        <f t="shared" si="5"/>
        <v>0.007249422147509981</v>
      </c>
      <c r="K40" s="107">
        <v>0</v>
      </c>
      <c r="L40" s="30">
        <f t="shared" si="6"/>
        <v>0</v>
      </c>
      <c r="M40" s="107">
        <v>0</v>
      </c>
      <c r="N40" s="30">
        <f t="shared" si="7"/>
        <v>0</v>
      </c>
      <c r="O40" s="107">
        <v>19</v>
      </c>
      <c r="P40" s="30">
        <f t="shared" si="8"/>
        <v>0.0019962176927926035</v>
      </c>
      <c r="Q40" s="107">
        <v>0</v>
      </c>
      <c r="R40" s="30">
        <f t="shared" si="9"/>
        <v>0</v>
      </c>
      <c r="S40" s="107">
        <v>1</v>
      </c>
      <c r="T40" s="30">
        <f t="shared" si="10"/>
        <v>0.00010506408909434755</v>
      </c>
      <c r="U40" s="29">
        <f t="shared" si="11"/>
        <v>9518</v>
      </c>
      <c r="V40" s="29">
        <v>542</v>
      </c>
      <c r="W40" s="38">
        <f t="shared" si="1"/>
        <v>10060</v>
      </c>
      <c r="X40" s="61">
        <v>0</v>
      </c>
      <c r="Y40" s="61">
        <v>0</v>
      </c>
      <c r="Z40" s="61">
        <v>0</v>
      </c>
      <c r="AB40" s="33">
        <f t="shared" si="12"/>
        <v>4821</v>
      </c>
      <c r="AC40" s="34">
        <f t="shared" si="13"/>
        <v>0.5065139735238495</v>
      </c>
    </row>
    <row r="41" spans="1:29" ht="12.75">
      <c r="A41" s="35">
        <v>34</v>
      </c>
      <c r="B41" s="36" t="s">
        <v>31</v>
      </c>
      <c r="C41" s="37">
        <v>105299</v>
      </c>
      <c r="D41" s="30">
        <f t="shared" si="2"/>
        <v>0.30769118381873806</v>
      </c>
      <c r="E41" s="29">
        <v>116244</v>
      </c>
      <c r="F41" s="30">
        <f t="shared" si="3"/>
        <v>0.3396732539893578</v>
      </c>
      <c r="G41" s="107">
        <v>103403</v>
      </c>
      <c r="H41" s="30">
        <f t="shared" si="4"/>
        <v>0.30215093666994913</v>
      </c>
      <c r="I41" s="107">
        <v>6540</v>
      </c>
      <c r="J41" s="30">
        <f t="shared" si="5"/>
        <v>0.019110346177784662</v>
      </c>
      <c r="K41" s="107">
        <v>1908</v>
      </c>
      <c r="L41" s="30">
        <f t="shared" si="6"/>
        <v>0.00557531200416103</v>
      </c>
      <c r="M41" s="107">
        <v>2026</v>
      </c>
      <c r="N41" s="30">
        <f t="shared" si="7"/>
        <v>0.005920116415319835</v>
      </c>
      <c r="O41" s="107">
        <v>1777</v>
      </c>
      <c r="P41" s="30">
        <f t="shared" si="8"/>
        <v>0.005192520666349135</v>
      </c>
      <c r="Q41" s="107">
        <v>4984</v>
      </c>
      <c r="R41" s="30">
        <f t="shared" si="9"/>
        <v>0.014563603264538035</v>
      </c>
      <c r="S41" s="107">
        <v>42</v>
      </c>
      <c r="T41" s="30">
        <f t="shared" si="10"/>
        <v>0.0001227269938022868</v>
      </c>
      <c r="U41" s="29">
        <f t="shared" si="11"/>
        <v>342223</v>
      </c>
      <c r="V41" s="29">
        <v>7473</v>
      </c>
      <c r="W41" s="38">
        <f t="shared" si="1"/>
        <v>349696</v>
      </c>
      <c r="X41" s="61">
        <v>0</v>
      </c>
      <c r="Y41" s="61">
        <v>0</v>
      </c>
      <c r="Z41" s="61">
        <f>-'Cas anuladas TEPJF'!O81</f>
        <v>12849</v>
      </c>
      <c r="AB41" s="33">
        <f t="shared" si="12"/>
        <v>116244</v>
      </c>
      <c r="AC41" s="34">
        <f t="shared" si="13"/>
        <v>0.3396732539893578</v>
      </c>
    </row>
    <row r="42" spans="1:29" ht="12.75">
      <c r="A42" s="35">
        <v>35</v>
      </c>
      <c r="B42" s="36" t="s">
        <v>56</v>
      </c>
      <c r="C42" s="37">
        <v>251</v>
      </c>
      <c r="D42" s="30">
        <f t="shared" si="2"/>
        <v>0.09077757685352622</v>
      </c>
      <c r="E42" s="29">
        <v>1277</v>
      </c>
      <c r="F42" s="30">
        <f t="shared" si="3"/>
        <v>0.4618444846292948</v>
      </c>
      <c r="G42" s="107">
        <v>1165</v>
      </c>
      <c r="H42" s="30">
        <f t="shared" si="4"/>
        <v>0.4213381555153707</v>
      </c>
      <c r="I42" s="107">
        <v>27</v>
      </c>
      <c r="J42" s="30">
        <f t="shared" si="5"/>
        <v>0.00976491862567812</v>
      </c>
      <c r="K42" s="107">
        <v>0</v>
      </c>
      <c r="L42" s="30">
        <f t="shared" si="6"/>
        <v>0</v>
      </c>
      <c r="M42" s="107">
        <v>19</v>
      </c>
      <c r="N42" s="30">
        <f t="shared" si="7"/>
        <v>0.006871609403254973</v>
      </c>
      <c r="O42" s="107">
        <v>0</v>
      </c>
      <c r="P42" s="30">
        <f t="shared" si="8"/>
        <v>0</v>
      </c>
      <c r="Q42" s="107">
        <v>22</v>
      </c>
      <c r="R42" s="30">
        <f t="shared" si="9"/>
        <v>0.007956600361663653</v>
      </c>
      <c r="S42" s="107">
        <v>4</v>
      </c>
      <c r="T42" s="30">
        <f t="shared" si="10"/>
        <v>0.0014466546112115732</v>
      </c>
      <c r="U42" s="29">
        <f t="shared" si="11"/>
        <v>2765</v>
      </c>
      <c r="V42" s="29">
        <v>104</v>
      </c>
      <c r="W42" s="38">
        <f t="shared" si="1"/>
        <v>2869</v>
      </c>
      <c r="X42" s="61">
        <v>0</v>
      </c>
      <c r="Y42" s="61">
        <v>0</v>
      </c>
      <c r="Z42" s="61">
        <v>0</v>
      </c>
      <c r="AB42" s="33">
        <f t="shared" si="12"/>
        <v>1277</v>
      </c>
      <c r="AC42" s="34">
        <f t="shared" si="13"/>
        <v>0.4618444846292948</v>
      </c>
    </row>
    <row r="43" spans="1:29" ht="12.75">
      <c r="A43" s="35">
        <v>36</v>
      </c>
      <c r="B43" s="36" t="s">
        <v>57</v>
      </c>
      <c r="C43" s="37">
        <v>6983</v>
      </c>
      <c r="D43" s="30">
        <f t="shared" si="2"/>
        <v>0.4760054533060668</v>
      </c>
      <c r="E43" s="29">
        <v>6289</v>
      </c>
      <c r="F43" s="30">
        <f t="shared" si="3"/>
        <v>0.42869802317655076</v>
      </c>
      <c r="G43" s="107">
        <v>701</v>
      </c>
      <c r="H43" s="30">
        <f t="shared" si="4"/>
        <v>0.04778459441036128</v>
      </c>
      <c r="I43" s="107">
        <v>252</v>
      </c>
      <c r="J43" s="30">
        <f t="shared" si="5"/>
        <v>0.01717791411042945</v>
      </c>
      <c r="K43" s="107">
        <v>322</v>
      </c>
      <c r="L43" s="30">
        <f t="shared" si="6"/>
        <v>0.021949556918882073</v>
      </c>
      <c r="M43" s="107">
        <v>0</v>
      </c>
      <c r="N43" s="30">
        <f t="shared" si="7"/>
        <v>0</v>
      </c>
      <c r="O43" s="107">
        <v>122</v>
      </c>
      <c r="P43" s="30">
        <f t="shared" si="8"/>
        <v>0.008316291751874575</v>
      </c>
      <c r="Q43" s="107">
        <v>0</v>
      </c>
      <c r="R43" s="30">
        <f t="shared" si="9"/>
        <v>0</v>
      </c>
      <c r="S43" s="107">
        <v>1</v>
      </c>
      <c r="T43" s="30">
        <f t="shared" si="10"/>
        <v>6.81663258350375E-05</v>
      </c>
      <c r="U43" s="29">
        <f t="shared" si="11"/>
        <v>14670</v>
      </c>
      <c r="V43" s="29">
        <v>355</v>
      </c>
      <c r="W43" s="38">
        <f t="shared" si="1"/>
        <v>15025</v>
      </c>
      <c r="X43" s="61">
        <v>0</v>
      </c>
      <c r="Y43" s="61">
        <v>0</v>
      </c>
      <c r="Z43" s="61">
        <v>0</v>
      </c>
      <c r="AB43" s="33">
        <f t="shared" si="12"/>
        <v>6983</v>
      </c>
      <c r="AC43" s="34">
        <f t="shared" si="13"/>
        <v>0.4760054533060668</v>
      </c>
    </row>
    <row r="44" spans="1:29" ht="12.75">
      <c r="A44" s="35">
        <v>37</v>
      </c>
      <c r="B44" s="36" t="s">
        <v>58</v>
      </c>
      <c r="C44" s="37">
        <v>850</v>
      </c>
      <c r="D44" s="30">
        <f t="shared" si="2"/>
        <v>0.0716272014831044</v>
      </c>
      <c r="E44" s="29">
        <v>5007</v>
      </c>
      <c r="F44" s="30">
        <f t="shared" si="3"/>
        <v>0.4219263503834162</v>
      </c>
      <c r="G44" s="107">
        <v>5843</v>
      </c>
      <c r="H44" s="30">
        <f t="shared" si="4"/>
        <v>0.49237380972444594</v>
      </c>
      <c r="I44" s="107">
        <v>56</v>
      </c>
      <c r="J44" s="30">
        <f t="shared" si="5"/>
        <v>0.004718968568298643</v>
      </c>
      <c r="K44" s="107">
        <v>86</v>
      </c>
      <c r="L44" s="30">
        <f t="shared" si="6"/>
        <v>0.007246987444172916</v>
      </c>
      <c r="M44" s="107">
        <v>0</v>
      </c>
      <c r="N44" s="30">
        <f t="shared" si="7"/>
        <v>0</v>
      </c>
      <c r="O44" s="107">
        <v>24</v>
      </c>
      <c r="P44" s="30">
        <f t="shared" si="8"/>
        <v>0.0020224151006994185</v>
      </c>
      <c r="Q44" s="107">
        <v>0</v>
      </c>
      <c r="R44" s="30">
        <f t="shared" si="9"/>
        <v>0</v>
      </c>
      <c r="S44" s="107">
        <v>1</v>
      </c>
      <c r="T44" s="30">
        <f t="shared" si="10"/>
        <v>8.426729586247578E-05</v>
      </c>
      <c r="U44" s="29">
        <f t="shared" si="11"/>
        <v>11867</v>
      </c>
      <c r="V44" s="29">
        <v>271</v>
      </c>
      <c r="W44" s="38">
        <f t="shared" si="1"/>
        <v>12138</v>
      </c>
      <c r="X44" s="61">
        <v>0</v>
      </c>
      <c r="Y44" s="61">
        <v>0</v>
      </c>
      <c r="Z44" s="61">
        <v>0</v>
      </c>
      <c r="AB44" s="33">
        <f t="shared" si="12"/>
        <v>5843</v>
      </c>
      <c r="AC44" s="34">
        <f t="shared" si="13"/>
        <v>0.49237380972444594</v>
      </c>
    </row>
    <row r="45" spans="1:29" ht="15">
      <c r="A45" s="35">
        <v>38</v>
      </c>
      <c r="B45" s="110" t="s">
        <v>174</v>
      </c>
      <c r="C45" s="37">
        <v>15197</v>
      </c>
      <c r="D45" s="30">
        <f t="shared" si="2"/>
        <v>0.28803472261708457</v>
      </c>
      <c r="E45" s="29">
        <v>18283</v>
      </c>
      <c r="F45" s="30">
        <f t="shared" si="3"/>
        <v>0.34652489528250036</v>
      </c>
      <c r="G45" s="107">
        <v>15274</v>
      </c>
      <c r="H45" s="30">
        <f t="shared" si="4"/>
        <v>0.2894941339246792</v>
      </c>
      <c r="I45" s="107">
        <v>1159</v>
      </c>
      <c r="J45" s="30">
        <f t="shared" si="5"/>
        <v>0.021966983188339874</v>
      </c>
      <c r="K45" s="107">
        <v>1488</v>
      </c>
      <c r="L45" s="30">
        <f t="shared" si="6"/>
        <v>0.028202649684425995</v>
      </c>
      <c r="M45" s="107">
        <v>219</v>
      </c>
      <c r="N45" s="30">
        <f t="shared" si="7"/>
        <v>0.004150793199522374</v>
      </c>
      <c r="O45" s="107">
        <v>324</v>
      </c>
      <c r="P45" s="30">
        <f t="shared" si="8"/>
        <v>0.006140899528060499</v>
      </c>
      <c r="Q45" s="107">
        <v>807</v>
      </c>
      <c r="R45" s="30">
        <f t="shared" si="9"/>
        <v>0.015295388639335872</v>
      </c>
      <c r="S45" s="107">
        <v>10</v>
      </c>
      <c r="T45" s="30">
        <f t="shared" si="10"/>
        <v>0.00018953393605124997</v>
      </c>
      <c r="U45" s="29">
        <f t="shared" si="11"/>
        <v>52761</v>
      </c>
      <c r="V45" s="29">
        <v>1480</v>
      </c>
      <c r="W45" s="38">
        <f t="shared" si="1"/>
        <v>54241</v>
      </c>
      <c r="X45" s="61">
        <f>'Cas anuladas TEEM'!O45</f>
        <v>452</v>
      </c>
      <c r="Y45" s="61">
        <v>0</v>
      </c>
      <c r="Z45" s="61">
        <v>0</v>
      </c>
      <c r="AB45" s="33">
        <f t="shared" si="12"/>
        <v>18283</v>
      </c>
      <c r="AC45" s="34">
        <f t="shared" si="13"/>
        <v>0.34652489528250036</v>
      </c>
    </row>
    <row r="46" spans="1:29" ht="12.75">
      <c r="A46" s="35">
        <v>39</v>
      </c>
      <c r="B46" s="36" t="s">
        <v>59</v>
      </c>
      <c r="C46" s="37">
        <v>126</v>
      </c>
      <c r="D46" s="30">
        <f t="shared" si="2"/>
        <v>0.03621730382293763</v>
      </c>
      <c r="E46" s="29">
        <v>683</v>
      </c>
      <c r="F46" s="30">
        <f t="shared" si="3"/>
        <v>0.19632078183386031</v>
      </c>
      <c r="G46" s="107">
        <v>558</v>
      </c>
      <c r="H46" s="30">
        <f t="shared" si="4"/>
        <v>0.16039091693015234</v>
      </c>
      <c r="I46" s="107">
        <v>522</v>
      </c>
      <c r="J46" s="30">
        <f t="shared" si="5"/>
        <v>0.15004311583788446</v>
      </c>
      <c r="K46" s="107">
        <v>631</v>
      </c>
      <c r="L46" s="30">
        <f t="shared" si="6"/>
        <v>0.1813739580339178</v>
      </c>
      <c r="M46" s="107">
        <v>765</v>
      </c>
      <c r="N46" s="30">
        <f t="shared" si="7"/>
        <v>0.21989077321069272</v>
      </c>
      <c r="O46" s="107">
        <v>194</v>
      </c>
      <c r="P46" s="30">
        <f t="shared" si="8"/>
        <v>0.055763150330554755</v>
      </c>
      <c r="Q46" s="107">
        <v>0</v>
      </c>
      <c r="R46" s="30">
        <f t="shared" si="9"/>
        <v>0</v>
      </c>
      <c r="S46" s="107">
        <v>0</v>
      </c>
      <c r="T46" s="30">
        <f t="shared" si="10"/>
        <v>0</v>
      </c>
      <c r="U46" s="29">
        <f t="shared" si="11"/>
        <v>3479</v>
      </c>
      <c r="V46" s="29">
        <v>56</v>
      </c>
      <c r="W46" s="38">
        <f t="shared" si="1"/>
        <v>3535</v>
      </c>
      <c r="X46" s="61">
        <v>0</v>
      </c>
      <c r="Y46" s="61">
        <v>0</v>
      </c>
      <c r="Z46" s="61">
        <v>0</v>
      </c>
      <c r="AB46" s="33">
        <f t="shared" si="12"/>
        <v>765</v>
      </c>
      <c r="AC46" s="34">
        <f t="shared" si="13"/>
        <v>0.21989077321069272</v>
      </c>
    </row>
    <row r="47" spans="1:29" ht="15">
      <c r="A47" s="35">
        <v>40</v>
      </c>
      <c r="B47" s="110" t="s">
        <v>177</v>
      </c>
      <c r="C47" s="37">
        <v>7731</v>
      </c>
      <c r="D47" s="30">
        <f t="shared" si="2"/>
        <v>0.13153999285386148</v>
      </c>
      <c r="E47" s="29">
        <v>25886</v>
      </c>
      <c r="F47" s="30">
        <f t="shared" si="3"/>
        <v>0.44044033825055723</v>
      </c>
      <c r="G47" s="107">
        <v>22776</v>
      </c>
      <c r="H47" s="30">
        <f t="shared" si="4"/>
        <v>0.38752488387524886</v>
      </c>
      <c r="I47" s="107">
        <v>892</v>
      </c>
      <c r="J47" s="30">
        <f t="shared" si="5"/>
        <v>0.015177037074847294</v>
      </c>
      <c r="K47" s="107">
        <v>482</v>
      </c>
      <c r="L47" s="30">
        <f t="shared" si="6"/>
        <v>0.008201044697395063</v>
      </c>
      <c r="M47" s="107">
        <v>179</v>
      </c>
      <c r="N47" s="30">
        <f t="shared" si="7"/>
        <v>0.0030456161843023157</v>
      </c>
      <c r="O47" s="107">
        <v>244</v>
      </c>
      <c r="P47" s="30">
        <f t="shared" si="8"/>
        <v>0.004151566195361816</v>
      </c>
      <c r="Q47" s="107">
        <v>548</v>
      </c>
      <c r="R47" s="30">
        <f t="shared" si="9"/>
        <v>0.009324009324009324</v>
      </c>
      <c r="S47" s="107">
        <v>35</v>
      </c>
      <c r="T47" s="30">
        <f t="shared" si="10"/>
        <v>0.0005955115444166539</v>
      </c>
      <c r="U47" s="29">
        <f t="shared" si="11"/>
        <v>58773</v>
      </c>
      <c r="V47" s="29">
        <v>1856</v>
      </c>
      <c r="W47" s="38">
        <f t="shared" si="1"/>
        <v>60629</v>
      </c>
      <c r="X47" s="61">
        <f>'Cas anuladas TEEM'!O57</f>
        <v>2881</v>
      </c>
      <c r="Y47" s="61">
        <v>0</v>
      </c>
      <c r="Z47" s="61">
        <v>0</v>
      </c>
      <c r="AB47" s="33">
        <f t="shared" si="12"/>
        <v>25886</v>
      </c>
      <c r="AC47" s="34">
        <f t="shared" si="13"/>
        <v>0.44044033825055723</v>
      </c>
    </row>
    <row r="48" spans="1:29" ht="15">
      <c r="A48" s="35">
        <v>41</v>
      </c>
      <c r="B48" s="110" t="s">
        <v>142</v>
      </c>
      <c r="C48" s="37">
        <v>4017</v>
      </c>
      <c r="D48" s="30">
        <f t="shared" si="2"/>
        <v>0.4530791788856305</v>
      </c>
      <c r="E48" s="29">
        <v>4333</v>
      </c>
      <c r="F48" s="30">
        <f t="shared" si="3"/>
        <v>0.48872095646289193</v>
      </c>
      <c r="G48" s="107">
        <v>317</v>
      </c>
      <c r="H48" s="30">
        <f t="shared" si="4"/>
        <v>0.03575456801263253</v>
      </c>
      <c r="I48" s="107">
        <v>85</v>
      </c>
      <c r="J48" s="30">
        <f t="shared" si="5"/>
        <v>0.009587187006541846</v>
      </c>
      <c r="K48" s="107">
        <v>0</v>
      </c>
      <c r="L48" s="30">
        <f t="shared" si="6"/>
        <v>0</v>
      </c>
      <c r="M48" s="107">
        <v>16</v>
      </c>
      <c r="N48" s="30">
        <f t="shared" si="7"/>
        <v>0.0018046469659372885</v>
      </c>
      <c r="O48" s="107">
        <v>84</v>
      </c>
      <c r="P48" s="30">
        <f t="shared" si="8"/>
        <v>0.009474396571170765</v>
      </c>
      <c r="Q48" s="107">
        <v>0</v>
      </c>
      <c r="R48" s="30">
        <f t="shared" si="9"/>
        <v>0</v>
      </c>
      <c r="S48" s="107">
        <v>14</v>
      </c>
      <c r="T48" s="30">
        <f t="shared" si="10"/>
        <v>0.0015790660951951275</v>
      </c>
      <c r="U48" s="29">
        <f t="shared" si="11"/>
        <v>8866</v>
      </c>
      <c r="V48" s="29">
        <v>368</v>
      </c>
      <c r="W48" s="38">
        <f t="shared" si="1"/>
        <v>9234</v>
      </c>
      <c r="X48" s="61">
        <f>'Cas anuladas TEEM'!O60</f>
        <v>627</v>
      </c>
      <c r="Y48" s="61">
        <v>0</v>
      </c>
      <c r="Z48" s="61">
        <v>0</v>
      </c>
      <c r="AB48" s="33">
        <f t="shared" si="12"/>
        <v>4333</v>
      </c>
      <c r="AC48" s="34">
        <f t="shared" si="13"/>
        <v>0.48872095646289193</v>
      </c>
    </row>
    <row r="49" spans="1:29" ht="12.75">
      <c r="A49" s="35">
        <v>42</v>
      </c>
      <c r="B49" s="36" t="s">
        <v>60</v>
      </c>
      <c r="C49" s="37">
        <v>391</v>
      </c>
      <c r="D49" s="30">
        <f t="shared" si="2"/>
        <v>0.15166795965865013</v>
      </c>
      <c r="E49" s="29">
        <v>988</v>
      </c>
      <c r="F49" s="30">
        <f t="shared" si="3"/>
        <v>0.3832428238944919</v>
      </c>
      <c r="G49" s="107">
        <v>1173</v>
      </c>
      <c r="H49" s="30">
        <f t="shared" si="4"/>
        <v>0.45500387897595035</v>
      </c>
      <c r="I49" s="107">
        <v>18</v>
      </c>
      <c r="J49" s="30">
        <f t="shared" si="5"/>
        <v>0.0069821567106283944</v>
      </c>
      <c r="K49" s="107">
        <v>0</v>
      </c>
      <c r="L49" s="30">
        <f t="shared" si="6"/>
        <v>0</v>
      </c>
      <c r="M49" s="107">
        <v>0</v>
      </c>
      <c r="N49" s="30">
        <f t="shared" si="7"/>
        <v>0</v>
      </c>
      <c r="O49" s="107">
        <v>6</v>
      </c>
      <c r="P49" s="30">
        <f t="shared" si="8"/>
        <v>0.0023273855702094647</v>
      </c>
      <c r="Q49" s="107">
        <v>0</v>
      </c>
      <c r="R49" s="30">
        <f t="shared" si="9"/>
        <v>0</v>
      </c>
      <c r="S49" s="107">
        <v>2</v>
      </c>
      <c r="T49" s="30">
        <f t="shared" si="10"/>
        <v>0.0007757951900698216</v>
      </c>
      <c r="U49" s="29">
        <f t="shared" si="11"/>
        <v>2578</v>
      </c>
      <c r="V49" s="29">
        <v>63</v>
      </c>
      <c r="W49" s="38">
        <f t="shared" si="1"/>
        <v>2641</v>
      </c>
      <c r="X49" s="61">
        <v>0</v>
      </c>
      <c r="Y49" s="61">
        <v>0</v>
      </c>
      <c r="Z49" s="61">
        <v>0</v>
      </c>
      <c r="AB49" s="33">
        <f t="shared" si="12"/>
        <v>1173</v>
      </c>
      <c r="AC49" s="34">
        <f t="shared" si="13"/>
        <v>0.45500387897595035</v>
      </c>
    </row>
    <row r="50" spans="1:29" ht="15">
      <c r="A50" s="35">
        <v>43</v>
      </c>
      <c r="B50" s="110" t="s">
        <v>187</v>
      </c>
      <c r="C50" s="37">
        <v>3745</v>
      </c>
      <c r="D50" s="30">
        <f t="shared" si="2"/>
        <v>0.10987882522078456</v>
      </c>
      <c r="E50" s="29">
        <v>14330</v>
      </c>
      <c r="F50" s="30">
        <f t="shared" si="3"/>
        <v>0.42044420972332247</v>
      </c>
      <c r="G50" s="107">
        <v>668</v>
      </c>
      <c r="H50" s="30">
        <f t="shared" si="4"/>
        <v>0.01959921368424141</v>
      </c>
      <c r="I50" s="107">
        <v>334</v>
      </c>
      <c r="J50" s="30">
        <f t="shared" si="5"/>
        <v>0.009799606842120705</v>
      </c>
      <c r="K50" s="107">
        <v>14603</v>
      </c>
      <c r="L50" s="30">
        <f t="shared" si="6"/>
        <v>0.4284540680104451</v>
      </c>
      <c r="M50" s="107">
        <v>210</v>
      </c>
      <c r="N50" s="30">
        <f t="shared" si="7"/>
        <v>0.0061614294516327784</v>
      </c>
      <c r="O50" s="107">
        <v>185</v>
      </c>
      <c r="P50" s="30">
        <f t="shared" si="8"/>
        <v>0.0054279259454860194</v>
      </c>
      <c r="Q50" s="107">
        <v>1</v>
      </c>
      <c r="R50" s="30">
        <f t="shared" si="9"/>
        <v>2.9340140245870375E-05</v>
      </c>
      <c r="S50" s="107">
        <v>7</v>
      </c>
      <c r="T50" s="30">
        <f t="shared" si="10"/>
        <v>0.00020538098172109262</v>
      </c>
      <c r="U50" s="29">
        <f t="shared" si="11"/>
        <v>34083</v>
      </c>
      <c r="V50" s="29">
        <v>2087</v>
      </c>
      <c r="W50" s="38">
        <f t="shared" si="1"/>
        <v>36170</v>
      </c>
      <c r="X50" s="61">
        <f>'Cas anuladas TEEM'!O65</f>
        <v>1402</v>
      </c>
      <c r="Y50" s="61">
        <v>0</v>
      </c>
      <c r="Z50" s="61">
        <v>0</v>
      </c>
      <c r="AB50" s="33">
        <f t="shared" si="12"/>
        <v>14603</v>
      </c>
      <c r="AC50" s="34">
        <f t="shared" si="13"/>
        <v>0.4284540680104451</v>
      </c>
    </row>
    <row r="51" spans="1:29" ht="12.75">
      <c r="A51" s="35">
        <v>44</v>
      </c>
      <c r="B51" s="36" t="s">
        <v>112</v>
      </c>
      <c r="C51" s="37">
        <v>896</v>
      </c>
      <c r="D51" s="30">
        <f t="shared" si="2"/>
        <v>0.19202743249035575</v>
      </c>
      <c r="E51" s="29">
        <v>1512</v>
      </c>
      <c r="F51" s="30">
        <f t="shared" si="3"/>
        <v>0.32404629232747534</v>
      </c>
      <c r="G51" s="107">
        <v>1215</v>
      </c>
      <c r="H51" s="30">
        <f t="shared" si="4"/>
        <v>0.26039434204886414</v>
      </c>
      <c r="I51" s="107">
        <v>1026</v>
      </c>
      <c r="J51" s="30">
        <f t="shared" si="5"/>
        <v>0.2198885555079297</v>
      </c>
      <c r="K51" s="107">
        <v>0</v>
      </c>
      <c r="L51" s="30">
        <f t="shared" si="6"/>
        <v>0</v>
      </c>
      <c r="M51" s="107">
        <v>16</v>
      </c>
      <c r="N51" s="30">
        <f t="shared" si="7"/>
        <v>0.0034290612944706386</v>
      </c>
      <c r="O51" s="107">
        <v>0</v>
      </c>
      <c r="P51" s="30">
        <f t="shared" si="8"/>
        <v>0</v>
      </c>
      <c r="Q51" s="107">
        <v>0</v>
      </c>
      <c r="R51" s="30">
        <f t="shared" si="9"/>
        <v>0</v>
      </c>
      <c r="S51" s="107">
        <v>1</v>
      </c>
      <c r="T51" s="30">
        <f t="shared" si="10"/>
        <v>0.0002143163309044149</v>
      </c>
      <c r="U51" s="29">
        <f t="shared" si="11"/>
        <v>4666</v>
      </c>
      <c r="V51" s="29">
        <v>91</v>
      </c>
      <c r="W51" s="38">
        <f t="shared" si="1"/>
        <v>4757</v>
      </c>
      <c r="X51" s="61">
        <v>0</v>
      </c>
      <c r="Y51" s="61">
        <v>0</v>
      </c>
      <c r="Z51" s="61">
        <v>0</v>
      </c>
      <c r="AB51" s="33">
        <f t="shared" si="12"/>
        <v>1512</v>
      </c>
      <c r="AC51" s="34">
        <f t="shared" si="13"/>
        <v>0.32404629232747534</v>
      </c>
    </row>
    <row r="52" spans="1:29" ht="12.75">
      <c r="A52" s="35">
        <v>45</v>
      </c>
      <c r="B52" s="36" t="s">
        <v>61</v>
      </c>
      <c r="C52" s="37">
        <v>1902</v>
      </c>
      <c r="D52" s="30">
        <f t="shared" si="2"/>
        <v>0.23195121951219513</v>
      </c>
      <c r="E52" s="29">
        <v>3280</v>
      </c>
      <c r="F52" s="30">
        <f t="shared" si="3"/>
        <v>0.4</v>
      </c>
      <c r="G52" s="107">
        <v>1649</v>
      </c>
      <c r="H52" s="30">
        <f t="shared" si="4"/>
        <v>0.20109756097560977</v>
      </c>
      <c r="I52" s="107">
        <v>442</v>
      </c>
      <c r="J52" s="30">
        <f t="shared" si="5"/>
        <v>0.05390243902439024</v>
      </c>
      <c r="K52" s="107">
        <v>733</v>
      </c>
      <c r="L52" s="30">
        <f t="shared" si="6"/>
        <v>0.08939024390243902</v>
      </c>
      <c r="M52" s="107">
        <v>100</v>
      </c>
      <c r="N52" s="30">
        <f t="shared" si="7"/>
        <v>0.012195121951219513</v>
      </c>
      <c r="O52" s="107">
        <v>93</v>
      </c>
      <c r="P52" s="30">
        <f t="shared" si="8"/>
        <v>0.011341463414634146</v>
      </c>
      <c r="Q52" s="107">
        <v>0</v>
      </c>
      <c r="R52" s="30">
        <f t="shared" si="9"/>
        <v>0</v>
      </c>
      <c r="S52" s="107">
        <v>1</v>
      </c>
      <c r="T52" s="30">
        <f t="shared" si="10"/>
        <v>0.00012195121951219512</v>
      </c>
      <c r="U52" s="29">
        <f t="shared" si="11"/>
        <v>8200</v>
      </c>
      <c r="V52" s="29">
        <v>405</v>
      </c>
      <c r="W52" s="38">
        <f t="shared" si="1"/>
        <v>8605</v>
      </c>
      <c r="X52" s="61">
        <v>0</v>
      </c>
      <c r="Y52" s="61">
        <v>0</v>
      </c>
      <c r="Z52" s="61">
        <v>0</v>
      </c>
      <c r="AB52" s="33">
        <f t="shared" si="12"/>
        <v>3280</v>
      </c>
      <c r="AC52" s="34">
        <f t="shared" si="13"/>
        <v>0.4</v>
      </c>
    </row>
    <row r="53" spans="1:29" ht="15">
      <c r="A53" s="35">
        <v>46</v>
      </c>
      <c r="B53" s="110" t="s">
        <v>130</v>
      </c>
      <c r="C53" s="37">
        <v>8926</v>
      </c>
      <c r="D53" s="30">
        <f t="shared" si="2"/>
        <v>0.3696525448295855</v>
      </c>
      <c r="E53" s="29">
        <v>13987</v>
      </c>
      <c r="F53" s="30">
        <f t="shared" si="3"/>
        <v>0.5792437984014578</v>
      </c>
      <c r="G53" s="107">
        <v>759</v>
      </c>
      <c r="H53" s="30">
        <f t="shared" si="4"/>
        <v>0.03143247608398559</v>
      </c>
      <c r="I53" s="107">
        <v>246</v>
      </c>
      <c r="J53" s="30">
        <f t="shared" si="5"/>
        <v>0.010187600944216673</v>
      </c>
      <c r="K53" s="107">
        <v>3</v>
      </c>
      <c r="L53" s="30">
        <f t="shared" si="6"/>
        <v>0.00012423903590508137</v>
      </c>
      <c r="M53" s="107">
        <v>71</v>
      </c>
      <c r="N53" s="30">
        <f t="shared" si="7"/>
        <v>0.0029403238497535925</v>
      </c>
      <c r="O53" s="107">
        <v>96</v>
      </c>
      <c r="P53" s="30">
        <f t="shared" si="8"/>
        <v>0.003975649148962604</v>
      </c>
      <c r="Q53" s="107">
        <v>58</v>
      </c>
      <c r="R53" s="30">
        <f t="shared" si="9"/>
        <v>0.0024019546941649065</v>
      </c>
      <c r="S53" s="107">
        <v>1</v>
      </c>
      <c r="T53" s="30">
        <f t="shared" si="10"/>
        <v>4.141301196836046E-05</v>
      </c>
      <c r="U53" s="29">
        <f t="shared" si="11"/>
        <v>24147</v>
      </c>
      <c r="V53" s="29">
        <v>696</v>
      </c>
      <c r="W53" s="38">
        <f t="shared" si="1"/>
        <v>24843</v>
      </c>
      <c r="X53" s="61">
        <f>'Cas anuladas TEEM'!O66</f>
        <v>356</v>
      </c>
      <c r="Y53" s="61">
        <v>0</v>
      </c>
      <c r="Z53" s="61">
        <v>0</v>
      </c>
      <c r="AB53" s="33">
        <f t="shared" si="12"/>
        <v>13987</v>
      </c>
      <c r="AC53" s="34">
        <f t="shared" si="13"/>
        <v>0.5792437984014578</v>
      </c>
    </row>
    <row r="54" spans="1:29" ht="12.75">
      <c r="A54" s="35">
        <v>47</v>
      </c>
      <c r="B54" s="36" t="s">
        <v>62</v>
      </c>
      <c r="C54" s="37">
        <v>1115</v>
      </c>
      <c r="D54" s="30">
        <f t="shared" si="2"/>
        <v>0.2007200720072007</v>
      </c>
      <c r="E54" s="29">
        <v>2457</v>
      </c>
      <c r="F54" s="30">
        <f t="shared" si="3"/>
        <v>0.4423042304230423</v>
      </c>
      <c r="G54" s="107">
        <v>1885</v>
      </c>
      <c r="H54" s="30">
        <f t="shared" si="4"/>
        <v>0.33933393339333934</v>
      </c>
      <c r="I54" s="107">
        <v>84</v>
      </c>
      <c r="J54" s="30">
        <f t="shared" si="5"/>
        <v>0.015121512151215122</v>
      </c>
      <c r="K54" s="107">
        <v>0</v>
      </c>
      <c r="L54" s="30">
        <f t="shared" si="6"/>
        <v>0</v>
      </c>
      <c r="M54" s="107">
        <v>0</v>
      </c>
      <c r="N54" s="30">
        <f t="shared" si="7"/>
        <v>0</v>
      </c>
      <c r="O54" s="107">
        <v>11</v>
      </c>
      <c r="P54" s="30">
        <f t="shared" si="8"/>
        <v>0.0019801980198019802</v>
      </c>
      <c r="Q54" s="107">
        <v>0</v>
      </c>
      <c r="R54" s="30">
        <f t="shared" si="9"/>
        <v>0</v>
      </c>
      <c r="S54" s="107">
        <v>3</v>
      </c>
      <c r="T54" s="30">
        <f t="shared" si="10"/>
        <v>0.00054005400540054</v>
      </c>
      <c r="U54" s="29">
        <f t="shared" si="11"/>
        <v>5555</v>
      </c>
      <c r="V54" s="29">
        <v>138</v>
      </c>
      <c r="W54" s="38">
        <f t="shared" si="1"/>
        <v>5693</v>
      </c>
      <c r="X54" s="61"/>
      <c r="Y54" s="61">
        <v>0</v>
      </c>
      <c r="Z54" s="61">
        <v>0</v>
      </c>
      <c r="AB54" s="33">
        <f t="shared" si="12"/>
        <v>2457</v>
      </c>
      <c r="AC54" s="34">
        <f t="shared" si="13"/>
        <v>0.4423042304230423</v>
      </c>
    </row>
    <row r="55" spans="1:29" ht="12.75">
      <c r="A55" s="35">
        <v>48</v>
      </c>
      <c r="B55" s="36" t="s">
        <v>63</v>
      </c>
      <c r="C55" s="37">
        <v>520</v>
      </c>
      <c r="D55" s="30">
        <f t="shared" si="2"/>
        <v>0.02699615823901983</v>
      </c>
      <c r="E55" s="29">
        <v>7638</v>
      </c>
      <c r="F55" s="30">
        <f t="shared" si="3"/>
        <v>0.39653203198006437</v>
      </c>
      <c r="G55" s="107">
        <v>2922</v>
      </c>
      <c r="H55" s="30">
        <f t="shared" si="4"/>
        <v>0.15169764302772298</v>
      </c>
      <c r="I55" s="107">
        <v>6318</v>
      </c>
      <c r="J55" s="30">
        <f t="shared" si="5"/>
        <v>0.32800332260409093</v>
      </c>
      <c r="K55" s="107">
        <v>1704</v>
      </c>
      <c r="L55" s="30">
        <f t="shared" si="6"/>
        <v>0.08846433392171114</v>
      </c>
      <c r="M55" s="107">
        <v>100</v>
      </c>
      <c r="N55" s="30">
        <f t="shared" si="7"/>
        <v>0.0051915688921191985</v>
      </c>
      <c r="O55" s="107">
        <v>49</v>
      </c>
      <c r="P55" s="30">
        <f t="shared" si="8"/>
        <v>0.0025438687571384074</v>
      </c>
      <c r="Q55" s="107">
        <v>0</v>
      </c>
      <c r="R55" s="30">
        <f t="shared" si="9"/>
        <v>0</v>
      </c>
      <c r="S55" s="107">
        <v>11</v>
      </c>
      <c r="T55" s="30">
        <f t="shared" si="10"/>
        <v>0.0005710725781331119</v>
      </c>
      <c r="U55" s="29">
        <f t="shared" si="11"/>
        <v>19262</v>
      </c>
      <c r="V55" s="29">
        <v>699</v>
      </c>
      <c r="W55" s="38">
        <f t="shared" si="1"/>
        <v>19961</v>
      </c>
      <c r="X55" s="61">
        <v>0</v>
      </c>
      <c r="Y55" s="61">
        <v>0</v>
      </c>
      <c r="Z55" s="61">
        <v>0</v>
      </c>
      <c r="AB55" s="33">
        <f t="shared" si="12"/>
        <v>7638</v>
      </c>
      <c r="AC55" s="34">
        <f t="shared" si="13"/>
        <v>0.39653203198006437</v>
      </c>
    </row>
    <row r="56" spans="1:29" ht="12.75">
      <c r="A56" s="35">
        <v>49</v>
      </c>
      <c r="B56" s="36" t="s">
        <v>64</v>
      </c>
      <c r="C56" s="37">
        <v>8799</v>
      </c>
      <c r="D56" s="30">
        <f t="shared" si="2"/>
        <v>0.48063582236303054</v>
      </c>
      <c r="E56" s="29">
        <v>7980</v>
      </c>
      <c r="F56" s="30">
        <f t="shared" si="3"/>
        <v>0.43589883651062433</v>
      </c>
      <c r="G56" s="107">
        <v>562</v>
      </c>
      <c r="H56" s="30">
        <f t="shared" si="4"/>
        <v>0.030698639864532692</v>
      </c>
      <c r="I56" s="107">
        <v>187</v>
      </c>
      <c r="J56" s="30">
        <f t="shared" si="5"/>
        <v>0.01021467198339433</v>
      </c>
      <c r="K56" s="107">
        <v>395</v>
      </c>
      <c r="L56" s="30">
        <f t="shared" si="6"/>
        <v>0.02157644616813241</v>
      </c>
      <c r="M56" s="107">
        <v>41</v>
      </c>
      <c r="N56" s="30">
        <f t="shared" si="7"/>
        <v>0.0022395804883377944</v>
      </c>
      <c r="O56" s="107">
        <v>67</v>
      </c>
      <c r="P56" s="30">
        <f t="shared" si="8"/>
        <v>0.003659802261430054</v>
      </c>
      <c r="Q56" s="107">
        <v>58</v>
      </c>
      <c r="R56" s="30">
        <f t="shared" si="9"/>
        <v>0.003168187032282733</v>
      </c>
      <c r="S56" s="107">
        <v>218</v>
      </c>
      <c r="T56" s="30">
        <f t="shared" si="10"/>
        <v>0.0119080133282351</v>
      </c>
      <c r="U56" s="29">
        <f t="shared" si="11"/>
        <v>18307</v>
      </c>
      <c r="V56" s="29">
        <v>611</v>
      </c>
      <c r="W56" s="38">
        <f t="shared" si="1"/>
        <v>18918</v>
      </c>
      <c r="X56" s="61">
        <v>0</v>
      </c>
      <c r="Y56" s="61">
        <v>0</v>
      </c>
      <c r="Z56" s="61">
        <v>0</v>
      </c>
      <c r="AB56" s="33">
        <f t="shared" si="12"/>
        <v>8799</v>
      </c>
      <c r="AC56" s="34">
        <f t="shared" si="13"/>
        <v>0.48063582236303054</v>
      </c>
    </row>
    <row r="57" spans="1:29" ht="12.75">
      <c r="A57" s="35">
        <v>50</v>
      </c>
      <c r="B57" s="36" t="s">
        <v>65</v>
      </c>
      <c r="C57" s="37">
        <v>1882</v>
      </c>
      <c r="D57" s="30">
        <f t="shared" si="2"/>
        <v>0.42273135669362083</v>
      </c>
      <c r="E57" s="29">
        <v>1450</v>
      </c>
      <c r="F57" s="30">
        <f t="shared" si="3"/>
        <v>0.325696316262354</v>
      </c>
      <c r="G57" s="107">
        <v>1015</v>
      </c>
      <c r="H57" s="30">
        <f t="shared" si="4"/>
        <v>0.2279874213836478</v>
      </c>
      <c r="I57" s="107">
        <v>97</v>
      </c>
      <c r="J57" s="30">
        <f t="shared" si="5"/>
        <v>0.021787960467205752</v>
      </c>
      <c r="K57" s="107">
        <v>0</v>
      </c>
      <c r="L57" s="30">
        <f t="shared" si="6"/>
        <v>0</v>
      </c>
      <c r="M57" s="107">
        <v>8</v>
      </c>
      <c r="N57" s="30">
        <f t="shared" si="7"/>
        <v>0.0017969451931716084</v>
      </c>
      <c r="O57" s="107">
        <v>0</v>
      </c>
      <c r="P57" s="30">
        <f t="shared" si="8"/>
        <v>0</v>
      </c>
      <c r="Q57" s="107">
        <v>0</v>
      </c>
      <c r="R57" s="30">
        <f t="shared" si="9"/>
        <v>0</v>
      </c>
      <c r="S57" s="107">
        <v>0</v>
      </c>
      <c r="T57" s="30">
        <f t="shared" si="10"/>
        <v>0</v>
      </c>
      <c r="U57" s="29">
        <f t="shared" si="11"/>
        <v>4452</v>
      </c>
      <c r="V57" s="29">
        <v>168</v>
      </c>
      <c r="W57" s="38">
        <f t="shared" si="1"/>
        <v>4620</v>
      </c>
      <c r="X57" s="61">
        <v>0</v>
      </c>
      <c r="Y57" s="61">
        <v>0</v>
      </c>
      <c r="Z57" s="61">
        <v>0</v>
      </c>
      <c r="AB57" s="33">
        <f t="shared" si="12"/>
        <v>1882</v>
      </c>
      <c r="AC57" s="34">
        <f t="shared" si="13"/>
        <v>0.42273135669362083</v>
      </c>
    </row>
    <row r="58" spans="1:29" ht="15">
      <c r="A58" s="35">
        <v>51</v>
      </c>
      <c r="B58" s="110" t="s">
        <v>188</v>
      </c>
      <c r="C58" s="37">
        <v>1035</v>
      </c>
      <c r="D58" s="30">
        <f t="shared" si="2"/>
        <v>0.1521835024261138</v>
      </c>
      <c r="E58" s="29">
        <v>1763</v>
      </c>
      <c r="F58" s="30">
        <f t="shared" si="3"/>
        <v>0.25922658432583445</v>
      </c>
      <c r="G58" s="107">
        <v>379</v>
      </c>
      <c r="H58" s="30">
        <f t="shared" si="4"/>
        <v>0.05572709895603588</v>
      </c>
      <c r="I58" s="107">
        <v>1664</v>
      </c>
      <c r="J58" s="30">
        <f t="shared" si="5"/>
        <v>0.24466990148507572</v>
      </c>
      <c r="K58" s="107">
        <v>966</v>
      </c>
      <c r="L58" s="30">
        <f t="shared" si="6"/>
        <v>0.14203793559770622</v>
      </c>
      <c r="M58" s="107">
        <v>17</v>
      </c>
      <c r="N58" s="30">
        <f t="shared" si="7"/>
        <v>0.002499632406998971</v>
      </c>
      <c r="O58" s="107">
        <v>593</v>
      </c>
      <c r="P58" s="30">
        <f t="shared" si="8"/>
        <v>0.08719305984414057</v>
      </c>
      <c r="Q58" s="107">
        <v>380</v>
      </c>
      <c r="R58" s="30">
        <f t="shared" si="9"/>
        <v>0.05587413615644758</v>
      </c>
      <c r="S58" s="107">
        <v>4</v>
      </c>
      <c r="T58" s="30">
        <f t="shared" si="10"/>
        <v>0.0005881488016468167</v>
      </c>
      <c r="U58" s="29">
        <f t="shared" si="11"/>
        <v>6801</v>
      </c>
      <c r="V58" s="29">
        <v>166</v>
      </c>
      <c r="W58" s="38">
        <f t="shared" si="1"/>
        <v>6967</v>
      </c>
      <c r="X58" s="61">
        <f>'Cas anuladas TEEM'!O67</f>
        <v>401</v>
      </c>
      <c r="Y58" s="61">
        <v>0</v>
      </c>
      <c r="Z58" s="61">
        <v>0</v>
      </c>
      <c r="AB58" s="33">
        <f t="shared" si="12"/>
        <v>1763</v>
      </c>
      <c r="AC58" s="34">
        <f t="shared" si="13"/>
        <v>0.25922658432583445</v>
      </c>
    </row>
    <row r="59" spans="1:29" ht="12.75">
      <c r="A59" s="35">
        <v>52</v>
      </c>
      <c r="B59" s="36" t="s">
        <v>21</v>
      </c>
      <c r="C59" s="37">
        <v>9086</v>
      </c>
      <c r="D59" s="30">
        <f t="shared" si="2"/>
        <v>0.2866879121572587</v>
      </c>
      <c r="E59" s="29">
        <v>12705</v>
      </c>
      <c r="F59" s="30">
        <f t="shared" si="3"/>
        <v>0.4008771653046414</v>
      </c>
      <c r="G59" s="107">
        <v>5974</v>
      </c>
      <c r="H59" s="30">
        <f t="shared" si="4"/>
        <v>0.18849588237150158</v>
      </c>
      <c r="I59" s="107">
        <v>759</v>
      </c>
      <c r="J59" s="30">
        <f t="shared" si="5"/>
        <v>0.023948505979238317</v>
      </c>
      <c r="K59" s="107">
        <v>348</v>
      </c>
      <c r="L59" s="30">
        <f t="shared" si="6"/>
        <v>0.01098034266241757</v>
      </c>
      <c r="M59" s="107">
        <v>79</v>
      </c>
      <c r="N59" s="30">
        <f t="shared" si="7"/>
        <v>0.0024926639952039882</v>
      </c>
      <c r="O59" s="107">
        <v>1944</v>
      </c>
      <c r="P59" s="30">
        <f t="shared" si="8"/>
        <v>0.06133846590729814</v>
      </c>
      <c r="Q59" s="107">
        <v>797</v>
      </c>
      <c r="R59" s="30">
        <f t="shared" si="9"/>
        <v>0.025147508913640235</v>
      </c>
      <c r="S59" s="107">
        <v>1</v>
      </c>
      <c r="T59" s="30">
        <f t="shared" si="10"/>
        <v>3.1552708800050485E-05</v>
      </c>
      <c r="U59" s="29">
        <f t="shared" si="11"/>
        <v>31693</v>
      </c>
      <c r="V59" s="29">
        <v>731</v>
      </c>
      <c r="W59" s="38">
        <f t="shared" si="1"/>
        <v>32424</v>
      </c>
      <c r="X59" s="61">
        <v>0</v>
      </c>
      <c r="Y59" s="61">
        <v>0</v>
      </c>
      <c r="Z59" s="61">
        <v>0</v>
      </c>
      <c r="AB59" s="33">
        <f t="shared" si="12"/>
        <v>12705</v>
      </c>
      <c r="AC59" s="34">
        <f t="shared" si="13"/>
        <v>0.4008771653046414</v>
      </c>
    </row>
    <row r="60" spans="1:29" ht="12.75">
      <c r="A60" s="35">
        <v>53</v>
      </c>
      <c r="B60" s="36" t="s">
        <v>66</v>
      </c>
      <c r="C60" s="37">
        <v>3585</v>
      </c>
      <c r="D60" s="30">
        <f t="shared" si="2"/>
        <v>0.4743318338184705</v>
      </c>
      <c r="E60" s="29">
        <v>2885</v>
      </c>
      <c r="F60" s="30">
        <f t="shared" si="3"/>
        <v>0.38171473934903416</v>
      </c>
      <c r="G60" s="107">
        <v>987</v>
      </c>
      <c r="H60" s="30">
        <f t="shared" si="4"/>
        <v>0.13059010320190526</v>
      </c>
      <c r="I60" s="107">
        <v>82</v>
      </c>
      <c r="J60" s="30">
        <f t="shared" si="5"/>
        <v>0.010849431066419687</v>
      </c>
      <c r="K60" s="107">
        <v>0</v>
      </c>
      <c r="L60" s="30">
        <f t="shared" si="6"/>
        <v>0</v>
      </c>
      <c r="M60" s="107">
        <v>16</v>
      </c>
      <c r="N60" s="30">
        <f t="shared" si="7"/>
        <v>0.0021169621593014024</v>
      </c>
      <c r="O60" s="107">
        <v>0</v>
      </c>
      <c r="P60" s="30">
        <f t="shared" si="8"/>
        <v>0</v>
      </c>
      <c r="Q60" s="107">
        <v>0</v>
      </c>
      <c r="R60" s="30">
        <f t="shared" si="9"/>
        <v>0</v>
      </c>
      <c r="S60" s="107">
        <v>3</v>
      </c>
      <c r="T60" s="30">
        <f t="shared" si="10"/>
        <v>0.00039693040486901297</v>
      </c>
      <c r="U60" s="29">
        <f t="shared" si="11"/>
        <v>7558</v>
      </c>
      <c r="V60" s="29">
        <v>246</v>
      </c>
      <c r="W60" s="38">
        <f t="shared" si="1"/>
        <v>7804</v>
      </c>
      <c r="X60" s="61">
        <v>0</v>
      </c>
      <c r="Y60" s="61">
        <v>0</v>
      </c>
      <c r="Z60" s="61">
        <v>0</v>
      </c>
      <c r="AB60" s="33">
        <f t="shared" si="12"/>
        <v>3585</v>
      </c>
      <c r="AC60" s="34">
        <f t="shared" si="13"/>
        <v>0.4743318338184705</v>
      </c>
    </row>
    <row r="61" spans="1:29" ht="12.75">
      <c r="A61" s="35">
        <v>54</v>
      </c>
      <c r="B61" s="36" t="s">
        <v>67</v>
      </c>
      <c r="C61" s="37">
        <v>3459</v>
      </c>
      <c r="D61" s="30">
        <f t="shared" si="2"/>
        <v>0.2555974285080913</v>
      </c>
      <c r="E61" s="29">
        <v>5249</v>
      </c>
      <c r="F61" s="30">
        <f t="shared" si="3"/>
        <v>0.3878666962240449</v>
      </c>
      <c r="G61" s="107">
        <v>3991</v>
      </c>
      <c r="H61" s="30">
        <f t="shared" si="4"/>
        <v>0.29490874159462055</v>
      </c>
      <c r="I61" s="107">
        <v>61</v>
      </c>
      <c r="J61" s="30">
        <f t="shared" si="5"/>
        <v>0.004507500184733614</v>
      </c>
      <c r="K61" s="107">
        <v>728</v>
      </c>
      <c r="L61" s="30">
        <f t="shared" si="6"/>
        <v>0.053794428434197884</v>
      </c>
      <c r="M61" s="107">
        <v>1</v>
      </c>
      <c r="N61" s="30">
        <f t="shared" si="7"/>
        <v>7.389344565137072E-05</v>
      </c>
      <c r="O61" s="107">
        <v>39</v>
      </c>
      <c r="P61" s="30">
        <f t="shared" si="8"/>
        <v>0.002881844380403458</v>
      </c>
      <c r="Q61" s="107">
        <v>1</v>
      </c>
      <c r="R61" s="30">
        <f t="shared" si="9"/>
        <v>7.389344565137072E-05</v>
      </c>
      <c r="S61" s="107">
        <v>4</v>
      </c>
      <c r="T61" s="30">
        <f t="shared" si="10"/>
        <v>0.0002955737826054829</v>
      </c>
      <c r="U61" s="29">
        <f t="shared" si="11"/>
        <v>13533</v>
      </c>
      <c r="V61" s="29">
        <v>256</v>
      </c>
      <c r="W61" s="38">
        <f t="shared" si="1"/>
        <v>13789</v>
      </c>
      <c r="X61" s="61">
        <v>0</v>
      </c>
      <c r="Y61" s="61">
        <v>0</v>
      </c>
      <c r="Z61" s="61">
        <v>0</v>
      </c>
      <c r="AB61" s="33">
        <f t="shared" si="12"/>
        <v>5249</v>
      </c>
      <c r="AC61" s="34">
        <f t="shared" si="13"/>
        <v>0.3878666962240449</v>
      </c>
    </row>
    <row r="62" spans="1:29" ht="15">
      <c r="A62" s="35">
        <v>55</v>
      </c>
      <c r="B62" s="110" t="s">
        <v>165</v>
      </c>
      <c r="C62" s="37">
        <v>19857</v>
      </c>
      <c r="D62" s="30">
        <f t="shared" si="2"/>
        <v>0.3203930490343192</v>
      </c>
      <c r="E62" s="29">
        <v>17323</v>
      </c>
      <c r="F62" s="30">
        <f t="shared" si="3"/>
        <v>0.2795069138551398</v>
      </c>
      <c r="G62" s="107">
        <v>3889</v>
      </c>
      <c r="H62" s="30">
        <f t="shared" si="4"/>
        <v>0.0627490843377382</v>
      </c>
      <c r="I62" s="107">
        <v>15728</v>
      </c>
      <c r="J62" s="30">
        <f t="shared" si="5"/>
        <v>0.25377156041757426</v>
      </c>
      <c r="K62" s="107">
        <v>634</v>
      </c>
      <c r="L62" s="30">
        <f t="shared" si="6"/>
        <v>0.010229601303709441</v>
      </c>
      <c r="M62" s="107">
        <v>3903</v>
      </c>
      <c r="N62" s="30">
        <f t="shared" si="7"/>
        <v>0.06297497458734692</v>
      </c>
      <c r="O62" s="107">
        <v>251</v>
      </c>
      <c r="P62" s="30">
        <f t="shared" si="8"/>
        <v>0.00404988947512787</v>
      </c>
      <c r="Q62" s="107">
        <v>371</v>
      </c>
      <c r="R62" s="30">
        <f t="shared" si="9"/>
        <v>0.005986091614631234</v>
      </c>
      <c r="S62" s="107">
        <v>21</v>
      </c>
      <c r="T62" s="30">
        <f t="shared" si="10"/>
        <v>0.00033883537441308875</v>
      </c>
      <c r="U62" s="29">
        <f t="shared" si="11"/>
        <v>61977</v>
      </c>
      <c r="V62" s="29">
        <v>1226</v>
      </c>
      <c r="W62" s="38">
        <f t="shared" si="1"/>
        <v>63203</v>
      </c>
      <c r="X62" s="61">
        <f>'Cas anuladas TEEM'!O70</f>
        <v>585</v>
      </c>
      <c r="Y62" s="61">
        <v>0</v>
      </c>
      <c r="Z62" s="61">
        <v>0</v>
      </c>
      <c r="AB62" s="33">
        <f t="shared" si="12"/>
        <v>19857</v>
      </c>
      <c r="AC62" s="34">
        <f t="shared" si="13"/>
        <v>0.3203930490343192</v>
      </c>
    </row>
    <row r="63" spans="1:29" ht="12.75">
      <c r="A63" s="35">
        <v>56</v>
      </c>
      <c r="B63" s="36" t="s">
        <v>68</v>
      </c>
      <c r="C63" s="37">
        <v>69</v>
      </c>
      <c r="D63" s="30">
        <f t="shared" si="2"/>
        <v>0.01820580474934037</v>
      </c>
      <c r="E63" s="29">
        <v>1677</v>
      </c>
      <c r="F63" s="30">
        <f t="shared" si="3"/>
        <v>0.4424802110817942</v>
      </c>
      <c r="G63" s="107">
        <v>137</v>
      </c>
      <c r="H63" s="30">
        <f t="shared" si="4"/>
        <v>0.03614775725593668</v>
      </c>
      <c r="I63" s="107">
        <v>1210</v>
      </c>
      <c r="J63" s="30">
        <f t="shared" si="5"/>
        <v>0.31926121372031663</v>
      </c>
      <c r="K63" s="107">
        <v>693</v>
      </c>
      <c r="L63" s="30">
        <f t="shared" si="6"/>
        <v>0.18284960422163588</v>
      </c>
      <c r="M63" s="107">
        <v>4</v>
      </c>
      <c r="N63" s="30">
        <f t="shared" si="7"/>
        <v>0.0010554089709762533</v>
      </c>
      <c r="O63" s="107">
        <v>0</v>
      </c>
      <c r="P63" s="30">
        <f t="shared" si="8"/>
        <v>0</v>
      </c>
      <c r="Q63" s="107">
        <v>0</v>
      </c>
      <c r="R63" s="30">
        <f t="shared" si="9"/>
        <v>0</v>
      </c>
      <c r="S63" s="107">
        <v>0</v>
      </c>
      <c r="T63" s="30">
        <f t="shared" si="10"/>
        <v>0</v>
      </c>
      <c r="U63" s="29">
        <f t="shared" si="11"/>
        <v>3790</v>
      </c>
      <c r="V63" s="29">
        <v>62</v>
      </c>
      <c r="W63" s="38">
        <f t="shared" si="1"/>
        <v>3852</v>
      </c>
      <c r="X63" s="61">
        <v>0</v>
      </c>
      <c r="Y63" s="61">
        <v>0</v>
      </c>
      <c r="Z63" s="61">
        <v>0</v>
      </c>
      <c r="AB63" s="33">
        <f t="shared" si="12"/>
        <v>1677</v>
      </c>
      <c r="AC63" s="34">
        <f t="shared" si="13"/>
        <v>0.4424802110817942</v>
      </c>
    </row>
    <row r="64" spans="1:29" ht="12.75">
      <c r="A64" s="35">
        <v>57</v>
      </c>
      <c r="B64" s="36" t="s">
        <v>69</v>
      </c>
      <c r="C64" s="37">
        <v>522</v>
      </c>
      <c r="D64" s="30">
        <f t="shared" si="2"/>
        <v>0.058174523570712136</v>
      </c>
      <c r="E64" s="29">
        <v>3899</v>
      </c>
      <c r="F64" s="30">
        <f t="shared" si="3"/>
        <v>0.43452579962108545</v>
      </c>
      <c r="G64" s="107">
        <v>3147</v>
      </c>
      <c r="H64" s="30">
        <f t="shared" si="4"/>
        <v>0.3507188231360749</v>
      </c>
      <c r="I64" s="107">
        <v>142</v>
      </c>
      <c r="J64" s="30">
        <f t="shared" si="5"/>
        <v>0.015825253538392956</v>
      </c>
      <c r="K64" s="107">
        <v>1187</v>
      </c>
      <c r="L64" s="30">
        <f t="shared" si="6"/>
        <v>0.1322857461272707</v>
      </c>
      <c r="M64" s="107">
        <v>44</v>
      </c>
      <c r="N64" s="30">
        <f t="shared" si="7"/>
        <v>0.0049035996879527475</v>
      </c>
      <c r="O64" s="107">
        <v>27</v>
      </c>
      <c r="P64" s="30">
        <f t="shared" si="8"/>
        <v>0.003009027081243731</v>
      </c>
      <c r="Q64" s="107">
        <v>0</v>
      </c>
      <c r="R64" s="30">
        <f t="shared" si="9"/>
        <v>0</v>
      </c>
      <c r="S64" s="107">
        <v>5</v>
      </c>
      <c r="T64" s="30">
        <f t="shared" si="10"/>
        <v>0.0005572272372673577</v>
      </c>
      <c r="U64" s="29">
        <f t="shared" si="11"/>
        <v>8973</v>
      </c>
      <c r="V64" s="29">
        <v>539</v>
      </c>
      <c r="W64" s="38">
        <f t="shared" si="1"/>
        <v>9512</v>
      </c>
      <c r="X64" s="61">
        <v>0</v>
      </c>
      <c r="Y64" s="61">
        <v>0</v>
      </c>
      <c r="Z64" s="61">
        <v>0</v>
      </c>
      <c r="AB64" s="33">
        <f t="shared" si="12"/>
        <v>3899</v>
      </c>
      <c r="AC64" s="34">
        <f t="shared" si="13"/>
        <v>0.43452579962108545</v>
      </c>
    </row>
    <row r="65" spans="1:29" ht="15">
      <c r="A65" s="35">
        <v>58</v>
      </c>
      <c r="B65" s="110" t="s">
        <v>179</v>
      </c>
      <c r="C65" s="37">
        <v>100253</v>
      </c>
      <c r="D65" s="30">
        <f t="shared" si="2"/>
        <v>0.4808689437508094</v>
      </c>
      <c r="E65" s="29">
        <v>60114</v>
      </c>
      <c r="F65" s="30">
        <f t="shared" si="3"/>
        <v>0.28834005650340794</v>
      </c>
      <c r="G65" s="107">
        <v>33878</v>
      </c>
      <c r="H65" s="30">
        <f t="shared" si="4"/>
        <v>0.1624976616798492</v>
      </c>
      <c r="I65" s="107">
        <v>1864</v>
      </c>
      <c r="J65" s="30">
        <f t="shared" si="5"/>
        <v>0.008940776945842107</v>
      </c>
      <c r="K65" s="107">
        <v>2180</v>
      </c>
      <c r="L65" s="30">
        <f t="shared" si="6"/>
        <v>0.01045648805897843</v>
      </c>
      <c r="M65" s="107">
        <v>828</v>
      </c>
      <c r="N65" s="30">
        <f t="shared" si="7"/>
        <v>0.003971546840749606</v>
      </c>
      <c r="O65" s="107">
        <v>3337</v>
      </c>
      <c r="P65" s="30">
        <f t="shared" si="8"/>
        <v>0.01600610121688579</v>
      </c>
      <c r="Q65" s="107">
        <v>4725</v>
      </c>
      <c r="R65" s="30">
        <f t="shared" si="9"/>
        <v>0.02266371838471242</v>
      </c>
      <c r="S65" s="107">
        <v>1304</v>
      </c>
      <c r="T65" s="30">
        <f t="shared" si="10"/>
        <v>0.006254706618765079</v>
      </c>
      <c r="U65" s="29">
        <f t="shared" si="11"/>
        <v>208483</v>
      </c>
      <c r="V65" s="29">
        <v>5907</v>
      </c>
      <c r="W65" s="38">
        <f t="shared" si="1"/>
        <v>214390</v>
      </c>
      <c r="X65" s="61">
        <f>'Cas anuladas TEEM'!O80</f>
        <v>1804</v>
      </c>
      <c r="Y65" s="61">
        <v>0</v>
      </c>
      <c r="Z65" s="61">
        <v>0</v>
      </c>
      <c r="AB65" s="33">
        <f t="shared" si="12"/>
        <v>100253</v>
      </c>
      <c r="AC65" s="34">
        <f t="shared" si="13"/>
        <v>0.4808689437508094</v>
      </c>
    </row>
    <row r="66" spans="1:29" ht="12.75">
      <c r="A66" s="35">
        <v>59</v>
      </c>
      <c r="B66" s="36" t="s">
        <v>70</v>
      </c>
      <c r="C66" s="37">
        <v>1067</v>
      </c>
      <c r="D66" s="30">
        <f t="shared" si="2"/>
        <v>0.20440613026819923</v>
      </c>
      <c r="E66" s="29">
        <v>2716</v>
      </c>
      <c r="F66" s="30">
        <f t="shared" si="3"/>
        <v>0.5203065134099617</v>
      </c>
      <c r="G66" s="107">
        <v>1364</v>
      </c>
      <c r="H66" s="30">
        <f t="shared" si="4"/>
        <v>0.26130268199233714</v>
      </c>
      <c r="I66" s="107">
        <v>47</v>
      </c>
      <c r="J66" s="30">
        <f t="shared" si="5"/>
        <v>0.00900383141762452</v>
      </c>
      <c r="K66" s="107">
        <v>0</v>
      </c>
      <c r="L66" s="30">
        <f t="shared" si="6"/>
        <v>0</v>
      </c>
      <c r="M66" s="107">
        <v>0</v>
      </c>
      <c r="N66" s="30">
        <f t="shared" si="7"/>
        <v>0</v>
      </c>
      <c r="O66" s="107">
        <v>26</v>
      </c>
      <c r="P66" s="30">
        <f t="shared" si="8"/>
        <v>0.004980842911877395</v>
      </c>
      <c r="Q66" s="107">
        <v>0</v>
      </c>
      <c r="R66" s="30">
        <f t="shared" si="9"/>
        <v>0</v>
      </c>
      <c r="S66" s="107">
        <v>0</v>
      </c>
      <c r="T66" s="30">
        <f t="shared" si="10"/>
        <v>0</v>
      </c>
      <c r="U66" s="29">
        <f t="shared" si="11"/>
        <v>5220</v>
      </c>
      <c r="V66" s="29">
        <v>135</v>
      </c>
      <c r="W66" s="38">
        <f t="shared" si="1"/>
        <v>5355</v>
      </c>
      <c r="X66" s="61">
        <v>0</v>
      </c>
      <c r="Y66" s="61">
        <v>0</v>
      </c>
      <c r="Z66" s="61">
        <v>0</v>
      </c>
      <c r="AB66" s="33">
        <f t="shared" si="12"/>
        <v>2716</v>
      </c>
      <c r="AC66" s="34">
        <f t="shared" si="13"/>
        <v>0.5203065134099617</v>
      </c>
    </row>
    <row r="67" spans="1:29" ht="12.75">
      <c r="A67" s="35">
        <v>60</v>
      </c>
      <c r="B67" s="36" t="s">
        <v>71</v>
      </c>
      <c r="C67" s="37">
        <v>44025</v>
      </c>
      <c r="D67" s="30">
        <f t="shared" si="2"/>
        <v>0.1541162426792597</v>
      </c>
      <c r="E67" s="29">
        <v>79144</v>
      </c>
      <c r="F67" s="30">
        <f t="shared" si="3"/>
        <v>0.2770556708826196</v>
      </c>
      <c r="G67" s="107">
        <v>148949</v>
      </c>
      <c r="H67" s="30">
        <f t="shared" si="4"/>
        <v>0.5214187445958671</v>
      </c>
      <c r="I67" s="107">
        <v>3596</v>
      </c>
      <c r="J67" s="30">
        <f t="shared" si="5"/>
        <v>0.012588347726851058</v>
      </c>
      <c r="K67" s="107">
        <v>3982</v>
      </c>
      <c r="L67" s="30">
        <f t="shared" si="6"/>
        <v>0.013939599735350644</v>
      </c>
      <c r="M67" s="107">
        <v>1273</v>
      </c>
      <c r="N67" s="30">
        <f t="shared" si="7"/>
        <v>0.004456331105751223</v>
      </c>
      <c r="O67" s="107">
        <v>1746</v>
      </c>
      <c r="P67" s="30">
        <f t="shared" si="8"/>
        <v>0.006112139914093978</v>
      </c>
      <c r="Q67" s="107">
        <v>1661</v>
      </c>
      <c r="R67" s="30">
        <f t="shared" si="9"/>
        <v>0.005814584419994329</v>
      </c>
      <c r="S67" s="107">
        <v>1285</v>
      </c>
      <c r="T67" s="30">
        <f t="shared" si="10"/>
        <v>0.00449833894021235</v>
      </c>
      <c r="U67" s="29">
        <f t="shared" si="11"/>
        <v>285661</v>
      </c>
      <c r="V67" s="29">
        <v>8188</v>
      </c>
      <c r="W67" s="38">
        <f t="shared" si="1"/>
        <v>293849</v>
      </c>
      <c r="X67" s="61">
        <v>0</v>
      </c>
      <c r="Y67" s="61">
        <v>0</v>
      </c>
      <c r="Z67" s="61">
        <v>0</v>
      </c>
      <c r="AB67" s="33">
        <f t="shared" si="12"/>
        <v>148949</v>
      </c>
      <c r="AC67" s="34">
        <f t="shared" si="13"/>
        <v>0.5214187445958671</v>
      </c>
    </row>
    <row r="68" spans="1:29" ht="12.75">
      <c r="A68" s="35">
        <v>61</v>
      </c>
      <c r="B68" s="36" t="s">
        <v>72</v>
      </c>
      <c r="C68" s="37">
        <v>39015</v>
      </c>
      <c r="D68" s="30">
        <f t="shared" si="2"/>
        <v>0.5065238558909445</v>
      </c>
      <c r="E68" s="29">
        <v>24828</v>
      </c>
      <c r="F68" s="30">
        <f t="shared" si="3"/>
        <v>0.3223369036027264</v>
      </c>
      <c r="G68" s="107">
        <v>4341</v>
      </c>
      <c r="H68" s="30">
        <f t="shared" si="4"/>
        <v>0.05635832521908471</v>
      </c>
      <c r="I68" s="107">
        <v>3420</v>
      </c>
      <c r="J68" s="30">
        <f t="shared" si="5"/>
        <v>0.044401168451801365</v>
      </c>
      <c r="K68" s="107">
        <v>3615</v>
      </c>
      <c r="L68" s="30">
        <f t="shared" si="6"/>
        <v>0.04693281402142162</v>
      </c>
      <c r="M68" s="107">
        <v>544</v>
      </c>
      <c r="N68" s="30">
        <f t="shared" si="7"/>
        <v>0.0070626419993508605</v>
      </c>
      <c r="O68" s="107">
        <v>488</v>
      </c>
      <c r="P68" s="30">
        <f t="shared" si="8"/>
        <v>0.0063356053229470955</v>
      </c>
      <c r="Q68" s="107">
        <v>748</v>
      </c>
      <c r="R68" s="30">
        <f t="shared" si="9"/>
        <v>0.009711132749107433</v>
      </c>
      <c r="S68" s="107">
        <v>26</v>
      </c>
      <c r="T68" s="30">
        <f t="shared" si="10"/>
        <v>0.00033755274261603374</v>
      </c>
      <c r="U68" s="29">
        <f t="shared" si="11"/>
        <v>77025</v>
      </c>
      <c r="V68" s="29">
        <v>2303</v>
      </c>
      <c r="W68" s="38">
        <f t="shared" si="1"/>
        <v>79328</v>
      </c>
      <c r="X68" s="61">
        <v>0</v>
      </c>
      <c r="Y68" s="61">
        <v>0</v>
      </c>
      <c r="Z68" s="61">
        <v>0</v>
      </c>
      <c r="AB68" s="33">
        <f t="shared" si="12"/>
        <v>39015</v>
      </c>
      <c r="AC68" s="34">
        <f t="shared" si="13"/>
        <v>0.5065238558909445</v>
      </c>
    </row>
    <row r="69" spans="1:29" ht="12.75">
      <c r="A69" s="35">
        <v>62</v>
      </c>
      <c r="B69" s="36" t="s">
        <v>73</v>
      </c>
      <c r="C69" s="37">
        <v>1677</v>
      </c>
      <c r="D69" s="30">
        <f t="shared" si="2"/>
        <v>0.47669130187606595</v>
      </c>
      <c r="E69" s="29">
        <v>1365</v>
      </c>
      <c r="F69" s="30">
        <f t="shared" si="3"/>
        <v>0.3880045480386583</v>
      </c>
      <c r="G69" s="107">
        <v>306</v>
      </c>
      <c r="H69" s="30">
        <f t="shared" si="4"/>
        <v>0.0869812393405344</v>
      </c>
      <c r="I69" s="107">
        <v>146</v>
      </c>
      <c r="J69" s="30">
        <f t="shared" si="5"/>
        <v>0.041500852757248435</v>
      </c>
      <c r="K69" s="107">
        <v>0</v>
      </c>
      <c r="L69" s="30">
        <f t="shared" si="6"/>
        <v>0</v>
      </c>
      <c r="M69" s="107">
        <v>0</v>
      </c>
      <c r="N69" s="30">
        <f t="shared" si="7"/>
        <v>0</v>
      </c>
      <c r="O69" s="107">
        <v>0</v>
      </c>
      <c r="P69" s="30">
        <f t="shared" si="8"/>
        <v>0</v>
      </c>
      <c r="Q69" s="107">
        <v>22</v>
      </c>
      <c r="R69" s="30">
        <f t="shared" si="9"/>
        <v>0.0062535531552018195</v>
      </c>
      <c r="S69" s="107">
        <v>2</v>
      </c>
      <c r="T69" s="30">
        <f t="shared" si="10"/>
        <v>0.0005685048322910744</v>
      </c>
      <c r="U69" s="29">
        <f t="shared" si="11"/>
        <v>3518</v>
      </c>
      <c r="V69" s="29">
        <v>97</v>
      </c>
      <c r="W69" s="38">
        <f t="shared" si="1"/>
        <v>3615</v>
      </c>
      <c r="X69" s="61">
        <v>0</v>
      </c>
      <c r="Y69" s="61">
        <v>0</v>
      </c>
      <c r="Z69" s="61">
        <v>0</v>
      </c>
      <c r="AB69" s="33">
        <f t="shared" si="12"/>
        <v>1677</v>
      </c>
      <c r="AC69" s="34">
        <f t="shared" si="13"/>
        <v>0.47669130187606595</v>
      </c>
    </row>
    <row r="70" spans="1:29" ht="15">
      <c r="A70" s="35">
        <v>63</v>
      </c>
      <c r="B70" s="110" t="s">
        <v>139</v>
      </c>
      <c r="C70" s="37">
        <v>2961</v>
      </c>
      <c r="D70" s="30">
        <f t="shared" si="2"/>
        <v>0.17753927329415997</v>
      </c>
      <c r="E70" s="29">
        <v>4906</v>
      </c>
      <c r="F70" s="30">
        <f t="shared" si="3"/>
        <v>0.2941599712195707</v>
      </c>
      <c r="G70" s="107">
        <v>3736</v>
      </c>
      <c r="H70" s="30">
        <f t="shared" si="4"/>
        <v>0.22400767478114883</v>
      </c>
      <c r="I70" s="107">
        <v>2225</v>
      </c>
      <c r="J70" s="30">
        <f t="shared" si="5"/>
        <v>0.13340928168845184</v>
      </c>
      <c r="K70" s="107">
        <v>453</v>
      </c>
      <c r="L70" s="30">
        <f t="shared" si="6"/>
        <v>0.027161530159491545</v>
      </c>
      <c r="M70" s="107">
        <v>2101</v>
      </c>
      <c r="N70" s="30">
        <f t="shared" si="7"/>
        <v>0.12597433745053363</v>
      </c>
      <c r="O70" s="107">
        <v>200</v>
      </c>
      <c r="P70" s="30">
        <f t="shared" si="8"/>
        <v>0.01199184554502938</v>
      </c>
      <c r="Q70" s="107">
        <v>96</v>
      </c>
      <c r="R70" s="30">
        <f t="shared" si="9"/>
        <v>0.005756085861614102</v>
      </c>
      <c r="S70" s="107">
        <v>0</v>
      </c>
      <c r="T70" s="30">
        <f t="shared" si="10"/>
        <v>0</v>
      </c>
      <c r="U70" s="29">
        <f t="shared" si="11"/>
        <v>16678</v>
      </c>
      <c r="V70" s="29">
        <v>481</v>
      </c>
      <c r="W70" s="38">
        <f t="shared" si="1"/>
        <v>17159</v>
      </c>
      <c r="X70" s="61">
        <f>'Cas anuladas TEEM'!O81</f>
        <v>324</v>
      </c>
      <c r="Y70" s="61">
        <v>0</v>
      </c>
      <c r="Z70" s="61">
        <v>0</v>
      </c>
      <c r="AB70" s="33">
        <f t="shared" si="12"/>
        <v>4906</v>
      </c>
      <c r="AC70" s="34">
        <f t="shared" si="13"/>
        <v>0.2941599712195707</v>
      </c>
    </row>
    <row r="71" spans="1:29" ht="12.75">
      <c r="A71" s="35">
        <v>64</v>
      </c>
      <c r="B71" s="36" t="s">
        <v>74</v>
      </c>
      <c r="C71" s="37">
        <v>314</v>
      </c>
      <c r="D71" s="30">
        <f t="shared" si="2"/>
        <v>0.04114255765199162</v>
      </c>
      <c r="E71" s="29">
        <v>2810</v>
      </c>
      <c r="F71" s="30">
        <f t="shared" si="3"/>
        <v>0.36818658280922434</v>
      </c>
      <c r="G71" s="107">
        <v>2150</v>
      </c>
      <c r="H71" s="30">
        <f t="shared" si="4"/>
        <v>0.28170859538784065</v>
      </c>
      <c r="I71" s="107">
        <v>2317</v>
      </c>
      <c r="J71" s="30">
        <f t="shared" si="5"/>
        <v>0.3035901467505241</v>
      </c>
      <c r="K71" s="107">
        <v>0</v>
      </c>
      <c r="L71" s="30">
        <f t="shared" si="6"/>
        <v>0</v>
      </c>
      <c r="M71" s="107">
        <v>11</v>
      </c>
      <c r="N71" s="30">
        <f t="shared" si="7"/>
        <v>0.001441299790356394</v>
      </c>
      <c r="O71" s="107">
        <v>0</v>
      </c>
      <c r="P71" s="30">
        <f t="shared" si="8"/>
        <v>0</v>
      </c>
      <c r="Q71" s="107">
        <v>0</v>
      </c>
      <c r="R71" s="30">
        <f t="shared" si="9"/>
        <v>0</v>
      </c>
      <c r="S71" s="107">
        <v>30</v>
      </c>
      <c r="T71" s="30">
        <f t="shared" si="10"/>
        <v>0.003930817610062893</v>
      </c>
      <c r="U71" s="29">
        <f t="shared" si="11"/>
        <v>7632</v>
      </c>
      <c r="V71" s="29">
        <v>302</v>
      </c>
      <c r="W71" s="38">
        <f t="shared" si="1"/>
        <v>7934</v>
      </c>
      <c r="X71" s="61">
        <v>0</v>
      </c>
      <c r="Y71" s="61">
        <v>0</v>
      </c>
      <c r="Z71" s="61">
        <v>0</v>
      </c>
      <c r="AB71" s="33">
        <f t="shared" si="12"/>
        <v>2810</v>
      </c>
      <c r="AC71" s="34">
        <f t="shared" si="13"/>
        <v>0.36818658280922434</v>
      </c>
    </row>
    <row r="72" spans="1:29" ht="15">
      <c r="A72" s="35">
        <v>65</v>
      </c>
      <c r="B72" s="110" t="s">
        <v>123</v>
      </c>
      <c r="C72" s="37">
        <v>2513</v>
      </c>
      <c r="D72" s="30">
        <f t="shared" si="2"/>
        <v>0.2847914777878513</v>
      </c>
      <c r="E72" s="29">
        <v>3450</v>
      </c>
      <c r="F72" s="30">
        <f t="shared" si="3"/>
        <v>0.3909791477787851</v>
      </c>
      <c r="G72" s="107">
        <v>2253</v>
      </c>
      <c r="H72" s="30">
        <f t="shared" si="4"/>
        <v>0.2553263825929284</v>
      </c>
      <c r="I72" s="107">
        <v>100</v>
      </c>
      <c r="J72" s="30">
        <f t="shared" si="5"/>
        <v>0.011332728921124207</v>
      </c>
      <c r="K72" s="107">
        <v>0</v>
      </c>
      <c r="L72" s="30">
        <f t="shared" si="6"/>
        <v>0</v>
      </c>
      <c r="M72" s="107">
        <v>79</v>
      </c>
      <c r="N72" s="30">
        <f t="shared" si="7"/>
        <v>0.008952855847688124</v>
      </c>
      <c r="O72" s="107">
        <v>348</v>
      </c>
      <c r="P72" s="30">
        <f t="shared" si="8"/>
        <v>0.03943789664551224</v>
      </c>
      <c r="Q72" s="107">
        <v>81</v>
      </c>
      <c r="R72" s="30">
        <f t="shared" si="9"/>
        <v>0.009179510426110607</v>
      </c>
      <c r="S72" s="107">
        <v>0</v>
      </c>
      <c r="T72" s="30">
        <f t="shared" si="10"/>
        <v>0</v>
      </c>
      <c r="U72" s="29">
        <f t="shared" si="11"/>
        <v>8824</v>
      </c>
      <c r="V72" s="29">
        <v>562</v>
      </c>
      <c r="W72" s="38">
        <f aca="true" t="shared" si="14" ref="W72:W131">C72+E72+G72+I72+K72+M72+O72+Q72+V72+S72</f>
        <v>9386</v>
      </c>
      <c r="X72" s="61">
        <f>'Cas anuladas TEEM'!O82</f>
        <v>294</v>
      </c>
      <c r="Y72" s="61">
        <v>0</v>
      </c>
      <c r="Z72" s="61">
        <v>0</v>
      </c>
      <c r="AB72" s="33">
        <f t="shared" si="12"/>
        <v>3450</v>
      </c>
      <c r="AC72" s="34">
        <f t="shared" si="13"/>
        <v>0.3909791477787851</v>
      </c>
    </row>
    <row r="73" spans="1:29" ht="12.75">
      <c r="A73" s="35">
        <v>66</v>
      </c>
      <c r="B73" s="36" t="s">
        <v>33</v>
      </c>
      <c r="C73" s="37">
        <v>1358</v>
      </c>
      <c r="D73" s="30">
        <f aca="true" t="shared" si="15" ref="D73:D131">C73/$U73</f>
        <v>0.145536384096024</v>
      </c>
      <c r="E73" s="29">
        <v>4357</v>
      </c>
      <c r="F73" s="30">
        <f aca="true" t="shared" si="16" ref="F73:F131">E73/$U73</f>
        <v>0.46693816311220665</v>
      </c>
      <c r="G73" s="107">
        <v>2341</v>
      </c>
      <c r="H73" s="30">
        <f aca="true" t="shared" si="17" ref="H73:H131">G73/$U73</f>
        <v>0.25088414960883076</v>
      </c>
      <c r="I73" s="107">
        <v>470</v>
      </c>
      <c r="J73" s="30">
        <f aca="true" t="shared" si="18" ref="J73:J131">I73/$U73</f>
        <v>0.0503697352909656</v>
      </c>
      <c r="K73" s="107">
        <v>573</v>
      </c>
      <c r="L73" s="30">
        <f aca="true" t="shared" si="19" ref="L73:L131">K73/$U73</f>
        <v>0.06140820919515593</v>
      </c>
      <c r="M73" s="107">
        <v>20</v>
      </c>
      <c r="N73" s="30">
        <f aca="true" t="shared" si="20" ref="N73:N131">M73/$U73</f>
        <v>0.002143392991104919</v>
      </c>
      <c r="O73" s="107">
        <v>20</v>
      </c>
      <c r="P73" s="30">
        <f aca="true" t="shared" si="21" ref="P73:P131">O73/$U73</f>
        <v>0.002143392991104919</v>
      </c>
      <c r="Q73" s="107">
        <v>192</v>
      </c>
      <c r="R73" s="30">
        <f aca="true" t="shared" si="22" ref="R73:R131">Q73/$U73</f>
        <v>0.020576572714607222</v>
      </c>
      <c r="S73" s="107">
        <v>0</v>
      </c>
      <c r="T73" s="30">
        <f aca="true" t="shared" si="23" ref="T73:T131">S73/$U73</f>
        <v>0</v>
      </c>
      <c r="U73" s="29">
        <f aca="true" t="shared" si="24" ref="U73:U131">C73+E73+G73+I73+K73+M73+O73+Q73+S73</f>
        <v>9331</v>
      </c>
      <c r="V73" s="29">
        <v>234</v>
      </c>
      <c r="W73" s="38">
        <f t="shared" si="14"/>
        <v>9565</v>
      </c>
      <c r="X73" s="61">
        <v>0</v>
      </c>
      <c r="Y73" s="61">
        <v>0</v>
      </c>
      <c r="Z73" s="61">
        <v>0</v>
      </c>
      <c r="AB73" s="33">
        <f aca="true" t="shared" si="25" ref="AB73:AB131">MAX(C73,E73,G73,I73,K73,M73,O73,Q73,S73,V73)</f>
        <v>4357</v>
      </c>
      <c r="AC73" s="34">
        <f aca="true" t="shared" si="26" ref="AC73:AC131">MAX(D73,F73,H73,J73,L73,N73,P73,R73,T73)</f>
        <v>0.46693816311220665</v>
      </c>
    </row>
    <row r="74" spans="1:29" ht="12.75">
      <c r="A74" s="35">
        <v>67</v>
      </c>
      <c r="B74" s="36" t="s">
        <v>75</v>
      </c>
      <c r="C74" s="37">
        <v>231</v>
      </c>
      <c r="D74" s="30">
        <f t="shared" si="15"/>
        <v>0.09701805963880722</v>
      </c>
      <c r="E74" s="29">
        <v>864</v>
      </c>
      <c r="F74" s="30">
        <f t="shared" si="16"/>
        <v>0.3628727425451491</v>
      </c>
      <c r="G74" s="107">
        <v>834</v>
      </c>
      <c r="H74" s="30">
        <f t="shared" si="17"/>
        <v>0.3502729945401092</v>
      </c>
      <c r="I74" s="107">
        <v>450</v>
      </c>
      <c r="J74" s="30">
        <f t="shared" si="18"/>
        <v>0.1889962200755985</v>
      </c>
      <c r="K74" s="107">
        <v>0</v>
      </c>
      <c r="L74" s="30">
        <f t="shared" si="19"/>
        <v>0</v>
      </c>
      <c r="M74" s="107">
        <v>0</v>
      </c>
      <c r="N74" s="30">
        <f t="shared" si="20"/>
        <v>0</v>
      </c>
      <c r="O74" s="107">
        <v>0</v>
      </c>
      <c r="P74" s="30">
        <f t="shared" si="21"/>
        <v>0</v>
      </c>
      <c r="Q74" s="107">
        <v>0</v>
      </c>
      <c r="R74" s="30">
        <f t="shared" si="22"/>
        <v>0</v>
      </c>
      <c r="S74" s="107">
        <v>2</v>
      </c>
      <c r="T74" s="30">
        <f t="shared" si="23"/>
        <v>0.0008399832003359933</v>
      </c>
      <c r="U74" s="29">
        <f t="shared" si="24"/>
        <v>2381</v>
      </c>
      <c r="V74" s="29">
        <v>54</v>
      </c>
      <c r="W74" s="38">
        <f t="shared" si="14"/>
        <v>2435</v>
      </c>
      <c r="X74" s="61">
        <v>0</v>
      </c>
      <c r="Y74" s="61">
        <v>0</v>
      </c>
      <c r="Z74" s="61">
        <v>0</v>
      </c>
      <c r="AB74" s="33">
        <f t="shared" si="25"/>
        <v>864</v>
      </c>
      <c r="AC74" s="34">
        <f t="shared" si="26"/>
        <v>0.3628727425451491</v>
      </c>
    </row>
    <row r="75" spans="1:29" ht="12.75">
      <c r="A75" s="35">
        <v>68</v>
      </c>
      <c r="B75" s="36" t="s">
        <v>76</v>
      </c>
      <c r="C75" s="37">
        <v>3738</v>
      </c>
      <c r="D75" s="30">
        <f t="shared" si="15"/>
        <v>0.2198952879581152</v>
      </c>
      <c r="E75" s="29">
        <v>6003</v>
      </c>
      <c r="F75" s="30">
        <f t="shared" si="16"/>
        <v>0.35313841990705336</v>
      </c>
      <c r="G75" s="107">
        <v>4444</v>
      </c>
      <c r="H75" s="30">
        <f t="shared" si="17"/>
        <v>0.2614271427731043</v>
      </c>
      <c r="I75" s="107">
        <v>2676</v>
      </c>
      <c r="J75" s="30">
        <f t="shared" si="18"/>
        <v>0.1574210247661627</v>
      </c>
      <c r="K75" s="107">
        <v>40</v>
      </c>
      <c r="L75" s="30">
        <f t="shared" si="19"/>
        <v>0.0023530795929172306</v>
      </c>
      <c r="M75" s="107">
        <v>39</v>
      </c>
      <c r="N75" s="30">
        <f t="shared" si="20"/>
        <v>0.0022942526030943</v>
      </c>
      <c r="O75" s="107">
        <v>34</v>
      </c>
      <c r="P75" s="30">
        <f t="shared" si="21"/>
        <v>0.0020001176539796457</v>
      </c>
      <c r="Q75" s="107">
        <v>24</v>
      </c>
      <c r="R75" s="30">
        <f t="shared" si="22"/>
        <v>0.0014118477557503383</v>
      </c>
      <c r="S75" s="107">
        <v>1</v>
      </c>
      <c r="T75" s="30">
        <f t="shared" si="23"/>
        <v>5.882698982293076E-05</v>
      </c>
      <c r="U75" s="29">
        <f t="shared" si="24"/>
        <v>16999</v>
      </c>
      <c r="V75" s="29">
        <v>512</v>
      </c>
      <c r="W75" s="38">
        <f t="shared" si="14"/>
        <v>17511</v>
      </c>
      <c r="X75" s="61">
        <v>0</v>
      </c>
      <c r="Y75" s="61">
        <v>0</v>
      </c>
      <c r="Z75" s="61">
        <v>0</v>
      </c>
      <c r="AB75" s="33">
        <f t="shared" si="25"/>
        <v>6003</v>
      </c>
      <c r="AC75" s="34">
        <f t="shared" si="26"/>
        <v>0.35313841990705336</v>
      </c>
    </row>
    <row r="76" spans="1:29" ht="12.75">
      <c r="A76" s="35">
        <v>69</v>
      </c>
      <c r="B76" s="36" t="s">
        <v>77</v>
      </c>
      <c r="C76" s="37">
        <v>628</v>
      </c>
      <c r="D76" s="30">
        <f t="shared" si="15"/>
        <v>0.07657602731374223</v>
      </c>
      <c r="E76" s="29">
        <v>2348</v>
      </c>
      <c r="F76" s="30">
        <f t="shared" si="16"/>
        <v>0.28630654798195343</v>
      </c>
      <c r="G76" s="107">
        <v>888</v>
      </c>
      <c r="H76" s="30">
        <f t="shared" si="17"/>
        <v>0.10827947811242532</v>
      </c>
      <c r="I76" s="107">
        <v>1145</v>
      </c>
      <c r="J76" s="30">
        <f t="shared" si="18"/>
        <v>0.13961711986343128</v>
      </c>
      <c r="K76" s="107">
        <v>0</v>
      </c>
      <c r="L76" s="30">
        <f t="shared" si="19"/>
        <v>0</v>
      </c>
      <c r="M76" s="107">
        <v>34</v>
      </c>
      <c r="N76" s="30">
        <f t="shared" si="20"/>
        <v>0.004145835873673942</v>
      </c>
      <c r="O76" s="107">
        <v>2829</v>
      </c>
      <c r="P76" s="30">
        <f t="shared" si="21"/>
        <v>0.34495793195951713</v>
      </c>
      <c r="Q76" s="107">
        <v>325</v>
      </c>
      <c r="R76" s="30">
        <f t="shared" si="22"/>
        <v>0.03962931349835386</v>
      </c>
      <c r="S76" s="107">
        <v>4</v>
      </c>
      <c r="T76" s="30">
        <f t="shared" si="23"/>
        <v>0.00048774539690281675</v>
      </c>
      <c r="U76" s="29">
        <f t="shared" si="24"/>
        <v>8201</v>
      </c>
      <c r="V76" s="29">
        <v>289</v>
      </c>
      <c r="W76" s="38">
        <f t="shared" si="14"/>
        <v>8490</v>
      </c>
      <c r="X76" s="61">
        <v>0</v>
      </c>
      <c r="Y76" s="61">
        <v>0</v>
      </c>
      <c r="Z76" s="61">
        <v>0</v>
      </c>
      <c r="AB76" s="33">
        <f t="shared" si="25"/>
        <v>2829</v>
      </c>
      <c r="AC76" s="34">
        <f t="shared" si="26"/>
        <v>0.34495793195951713</v>
      </c>
    </row>
    <row r="77" spans="1:29" ht="12.75">
      <c r="A77" s="35">
        <v>70</v>
      </c>
      <c r="B77" s="36" t="s">
        <v>78</v>
      </c>
      <c r="C77" s="37">
        <v>443</v>
      </c>
      <c r="D77" s="30">
        <f t="shared" si="15"/>
        <v>0.23766094420600858</v>
      </c>
      <c r="E77" s="29">
        <v>661</v>
      </c>
      <c r="F77" s="30">
        <f t="shared" si="16"/>
        <v>0.3546137339055794</v>
      </c>
      <c r="G77" s="107">
        <v>492</v>
      </c>
      <c r="H77" s="30">
        <f t="shared" si="17"/>
        <v>0.26394849785407726</v>
      </c>
      <c r="I77" s="107">
        <v>160</v>
      </c>
      <c r="J77" s="30">
        <f t="shared" si="18"/>
        <v>0.08583690987124463</v>
      </c>
      <c r="K77" s="107">
        <v>0</v>
      </c>
      <c r="L77" s="30">
        <f t="shared" si="19"/>
        <v>0</v>
      </c>
      <c r="M77" s="107">
        <v>0</v>
      </c>
      <c r="N77" s="30">
        <f t="shared" si="20"/>
        <v>0</v>
      </c>
      <c r="O77" s="107">
        <v>0</v>
      </c>
      <c r="P77" s="30">
        <f t="shared" si="21"/>
        <v>0</v>
      </c>
      <c r="Q77" s="107">
        <v>108</v>
      </c>
      <c r="R77" s="30">
        <f t="shared" si="22"/>
        <v>0.05793991416309013</v>
      </c>
      <c r="S77" s="107">
        <v>0</v>
      </c>
      <c r="T77" s="30">
        <f t="shared" si="23"/>
        <v>0</v>
      </c>
      <c r="U77" s="29">
        <f t="shared" si="24"/>
        <v>1864</v>
      </c>
      <c r="V77" s="29">
        <v>28</v>
      </c>
      <c r="W77" s="38">
        <f t="shared" si="14"/>
        <v>1892</v>
      </c>
      <c r="X77" s="61">
        <v>0</v>
      </c>
      <c r="Y77" s="61">
        <v>0</v>
      </c>
      <c r="Z77" s="61">
        <v>0</v>
      </c>
      <c r="AB77" s="33">
        <f t="shared" si="25"/>
        <v>661</v>
      </c>
      <c r="AC77" s="34">
        <f t="shared" si="26"/>
        <v>0.3546137339055794</v>
      </c>
    </row>
    <row r="78" spans="1:29" ht="15">
      <c r="A78" s="35">
        <v>71</v>
      </c>
      <c r="B78" s="110" t="s">
        <v>136</v>
      </c>
      <c r="C78" s="37">
        <v>3400</v>
      </c>
      <c r="D78" s="30">
        <f t="shared" si="15"/>
        <v>0.08071408223340613</v>
      </c>
      <c r="E78" s="29">
        <v>17186</v>
      </c>
      <c r="F78" s="30">
        <f t="shared" si="16"/>
        <v>0.407985946253917</v>
      </c>
      <c r="G78" s="107">
        <v>12517</v>
      </c>
      <c r="H78" s="30">
        <f t="shared" si="17"/>
        <v>0.29714651979868956</v>
      </c>
      <c r="I78" s="107">
        <v>7761</v>
      </c>
      <c r="J78" s="30">
        <f t="shared" si="18"/>
        <v>0.184241762415725</v>
      </c>
      <c r="K78" s="107">
        <v>183</v>
      </c>
      <c r="L78" s="30">
        <f t="shared" si="19"/>
        <v>0.00434431677903333</v>
      </c>
      <c r="M78" s="107">
        <v>426</v>
      </c>
      <c r="N78" s="30">
        <f t="shared" si="20"/>
        <v>0.010112999715126768</v>
      </c>
      <c r="O78" s="107">
        <v>282</v>
      </c>
      <c r="P78" s="30">
        <f t="shared" si="21"/>
        <v>0.006694520938182509</v>
      </c>
      <c r="Q78" s="107">
        <v>366</v>
      </c>
      <c r="R78" s="30">
        <f t="shared" si="22"/>
        <v>0.00868863355806666</v>
      </c>
      <c r="S78" s="107">
        <v>3</v>
      </c>
      <c r="T78" s="30">
        <f t="shared" si="23"/>
        <v>7.121830785300541E-05</v>
      </c>
      <c r="U78" s="29">
        <f t="shared" si="24"/>
        <v>42124</v>
      </c>
      <c r="V78" s="29">
        <v>1059</v>
      </c>
      <c r="W78" s="38">
        <f t="shared" si="14"/>
        <v>43183</v>
      </c>
      <c r="X78" s="61">
        <f>'Cas anuladas TEEM'!O94</f>
        <v>2759</v>
      </c>
      <c r="Y78" s="61">
        <v>0</v>
      </c>
      <c r="Z78" s="61">
        <f>-'Cas anuladas TEPJF'!O84</f>
        <v>440</v>
      </c>
      <c r="AB78" s="33">
        <f t="shared" si="25"/>
        <v>17186</v>
      </c>
      <c r="AC78" s="34">
        <f t="shared" si="26"/>
        <v>0.407985946253917</v>
      </c>
    </row>
    <row r="79" spans="1:29" ht="12.75">
      <c r="A79" s="35">
        <v>72</v>
      </c>
      <c r="B79" s="36" t="s">
        <v>79</v>
      </c>
      <c r="C79" s="37">
        <v>2553</v>
      </c>
      <c r="D79" s="30">
        <f t="shared" si="15"/>
        <v>0.47675070028011207</v>
      </c>
      <c r="E79" s="29">
        <v>2337</v>
      </c>
      <c r="F79" s="30">
        <f t="shared" si="16"/>
        <v>0.43641456582633054</v>
      </c>
      <c r="G79" s="107">
        <v>413</v>
      </c>
      <c r="H79" s="30">
        <f t="shared" si="17"/>
        <v>0.07712418300653595</v>
      </c>
      <c r="I79" s="107">
        <v>25</v>
      </c>
      <c r="J79" s="30">
        <f t="shared" si="18"/>
        <v>0.004668534080298786</v>
      </c>
      <c r="K79" s="107">
        <v>0</v>
      </c>
      <c r="L79" s="30">
        <f t="shared" si="19"/>
        <v>0</v>
      </c>
      <c r="M79" s="107">
        <v>9</v>
      </c>
      <c r="N79" s="30">
        <f t="shared" si="20"/>
        <v>0.0016806722689075631</v>
      </c>
      <c r="O79" s="107">
        <v>18</v>
      </c>
      <c r="P79" s="30">
        <f t="shared" si="21"/>
        <v>0.0033613445378151263</v>
      </c>
      <c r="Q79" s="107">
        <v>0</v>
      </c>
      <c r="R79" s="30">
        <f t="shared" si="22"/>
        <v>0</v>
      </c>
      <c r="S79" s="107">
        <v>0</v>
      </c>
      <c r="T79" s="30">
        <f t="shared" si="23"/>
        <v>0</v>
      </c>
      <c r="U79" s="29">
        <f t="shared" si="24"/>
        <v>5355</v>
      </c>
      <c r="V79" s="29">
        <v>113</v>
      </c>
      <c r="W79" s="38">
        <f t="shared" si="14"/>
        <v>5468</v>
      </c>
      <c r="X79" s="61">
        <v>0</v>
      </c>
      <c r="Y79" s="61">
        <v>0</v>
      </c>
      <c r="Z79" s="61">
        <v>0</v>
      </c>
      <c r="AB79" s="33">
        <f t="shared" si="25"/>
        <v>2553</v>
      </c>
      <c r="AC79" s="34">
        <f t="shared" si="26"/>
        <v>0.47675070028011207</v>
      </c>
    </row>
    <row r="80" spans="1:29" ht="12.75">
      <c r="A80" s="35">
        <v>73</v>
      </c>
      <c r="B80" s="36" t="s">
        <v>80</v>
      </c>
      <c r="C80" s="37">
        <v>261</v>
      </c>
      <c r="D80" s="30">
        <f t="shared" si="15"/>
        <v>0.06843209229155742</v>
      </c>
      <c r="E80" s="29">
        <v>1551</v>
      </c>
      <c r="F80" s="30">
        <f t="shared" si="16"/>
        <v>0.40665967488201366</v>
      </c>
      <c r="G80" s="107">
        <v>577</v>
      </c>
      <c r="H80" s="30">
        <f t="shared" si="17"/>
        <v>0.15128474042999476</v>
      </c>
      <c r="I80" s="107">
        <v>1356</v>
      </c>
      <c r="J80" s="30">
        <f t="shared" si="18"/>
        <v>0.3555322496067121</v>
      </c>
      <c r="K80" s="107">
        <v>0</v>
      </c>
      <c r="L80" s="30">
        <f t="shared" si="19"/>
        <v>0</v>
      </c>
      <c r="M80" s="107">
        <v>69</v>
      </c>
      <c r="N80" s="30">
        <f t="shared" si="20"/>
        <v>0.018091242789722076</v>
      </c>
      <c r="O80" s="107">
        <v>0</v>
      </c>
      <c r="P80" s="30">
        <f t="shared" si="21"/>
        <v>0</v>
      </c>
      <c r="Q80" s="107">
        <v>0</v>
      </c>
      <c r="R80" s="30">
        <f t="shared" si="22"/>
        <v>0</v>
      </c>
      <c r="S80" s="107">
        <v>0</v>
      </c>
      <c r="T80" s="30">
        <f t="shared" si="23"/>
        <v>0</v>
      </c>
      <c r="U80" s="29">
        <f t="shared" si="24"/>
        <v>3814</v>
      </c>
      <c r="V80" s="29">
        <v>125</v>
      </c>
      <c r="W80" s="38">
        <f t="shared" si="14"/>
        <v>3939</v>
      </c>
      <c r="X80" s="61">
        <v>0</v>
      </c>
      <c r="Y80" s="61">
        <v>0</v>
      </c>
      <c r="Z80" s="61">
        <v>0</v>
      </c>
      <c r="AB80" s="33">
        <f t="shared" si="25"/>
        <v>1551</v>
      </c>
      <c r="AC80" s="34">
        <f t="shared" si="26"/>
        <v>0.40665967488201366</v>
      </c>
    </row>
    <row r="81" spans="1:29" ht="15">
      <c r="A81" s="35">
        <v>74</v>
      </c>
      <c r="B81" s="110" t="s">
        <v>169</v>
      </c>
      <c r="C81" s="37">
        <v>1241</v>
      </c>
      <c r="D81" s="30">
        <f t="shared" si="15"/>
        <v>0.2794415672145913</v>
      </c>
      <c r="E81" s="29">
        <v>1437</v>
      </c>
      <c r="F81" s="30">
        <f t="shared" si="16"/>
        <v>0.3235757712226976</v>
      </c>
      <c r="G81" s="107">
        <v>1477</v>
      </c>
      <c r="H81" s="30">
        <f t="shared" si="17"/>
        <v>0.3325827516325152</v>
      </c>
      <c r="I81" s="107">
        <v>285</v>
      </c>
      <c r="J81" s="30">
        <f t="shared" si="18"/>
        <v>0.06417473541995046</v>
      </c>
      <c r="K81" s="107">
        <v>0</v>
      </c>
      <c r="L81" s="30">
        <f t="shared" si="19"/>
        <v>0</v>
      </c>
      <c r="M81" s="107">
        <v>0</v>
      </c>
      <c r="N81" s="30">
        <f t="shared" si="20"/>
        <v>0</v>
      </c>
      <c r="O81" s="107">
        <v>0</v>
      </c>
      <c r="P81" s="30">
        <f t="shared" si="21"/>
        <v>0</v>
      </c>
      <c r="Q81" s="107">
        <v>0</v>
      </c>
      <c r="R81" s="30">
        <f t="shared" si="22"/>
        <v>0</v>
      </c>
      <c r="S81" s="107">
        <v>1</v>
      </c>
      <c r="T81" s="30">
        <f t="shared" si="23"/>
        <v>0.00022517451024544022</v>
      </c>
      <c r="U81" s="29">
        <f t="shared" si="24"/>
        <v>4441</v>
      </c>
      <c r="V81" s="29">
        <v>71</v>
      </c>
      <c r="W81" s="38">
        <f t="shared" si="14"/>
        <v>4512</v>
      </c>
      <c r="X81" s="61">
        <f>'Cas anuladas TEEM'!O97</f>
        <v>886</v>
      </c>
      <c r="Y81" s="61">
        <f>'Cas anuladas TEPJF'!O87</f>
        <v>886</v>
      </c>
      <c r="Z81" s="61">
        <v>0</v>
      </c>
      <c r="AB81" s="33">
        <f t="shared" si="25"/>
        <v>1477</v>
      </c>
      <c r="AC81" s="34">
        <f t="shared" si="26"/>
        <v>0.3325827516325152</v>
      </c>
    </row>
    <row r="82" spans="1:29" ht="12.75">
      <c r="A82" s="35">
        <v>75</v>
      </c>
      <c r="B82" s="36" t="s">
        <v>81</v>
      </c>
      <c r="C82" s="37">
        <v>6629</v>
      </c>
      <c r="D82" s="30">
        <f t="shared" si="15"/>
        <v>0.24991517436380772</v>
      </c>
      <c r="E82" s="29">
        <v>11344</v>
      </c>
      <c r="F82" s="30">
        <f t="shared" si="16"/>
        <v>0.4276720075400566</v>
      </c>
      <c r="G82" s="107">
        <v>5188</v>
      </c>
      <c r="H82" s="30">
        <f t="shared" si="17"/>
        <v>0.19558906691800187</v>
      </c>
      <c r="I82" s="107">
        <v>403</v>
      </c>
      <c r="J82" s="30">
        <f t="shared" si="18"/>
        <v>0.015193213949104618</v>
      </c>
      <c r="K82" s="107">
        <v>234</v>
      </c>
      <c r="L82" s="30">
        <f t="shared" si="19"/>
        <v>0.00882186616399623</v>
      </c>
      <c r="M82" s="107">
        <v>561</v>
      </c>
      <c r="N82" s="30">
        <f t="shared" si="20"/>
        <v>0.021149858623939678</v>
      </c>
      <c r="O82" s="107">
        <v>144</v>
      </c>
      <c r="P82" s="30">
        <f t="shared" si="21"/>
        <v>0.0054288407163053725</v>
      </c>
      <c r="Q82" s="107">
        <v>1768</v>
      </c>
      <c r="R82" s="30">
        <f t="shared" si="22"/>
        <v>0.06665409990574929</v>
      </c>
      <c r="S82" s="107">
        <v>254</v>
      </c>
      <c r="T82" s="30">
        <f t="shared" si="23"/>
        <v>0.009575871819038642</v>
      </c>
      <c r="U82" s="29">
        <f t="shared" si="24"/>
        <v>26525</v>
      </c>
      <c r="V82" s="29">
        <v>2025</v>
      </c>
      <c r="W82" s="38">
        <f t="shared" si="14"/>
        <v>28550</v>
      </c>
      <c r="X82" s="61">
        <v>0</v>
      </c>
      <c r="Y82" s="61">
        <v>0</v>
      </c>
      <c r="Z82" s="61">
        <v>0</v>
      </c>
      <c r="AB82" s="33">
        <f t="shared" si="25"/>
        <v>11344</v>
      </c>
      <c r="AC82" s="34">
        <f t="shared" si="26"/>
        <v>0.4276720075400566</v>
      </c>
    </row>
    <row r="83" spans="1:29" ht="12.75">
      <c r="A83" s="35">
        <v>76</v>
      </c>
      <c r="B83" s="36" t="s">
        <v>129</v>
      </c>
      <c r="C83" s="37">
        <v>2385</v>
      </c>
      <c r="D83" s="30">
        <f t="shared" si="15"/>
        <v>0.35459411239964317</v>
      </c>
      <c r="E83" s="29">
        <v>2906</v>
      </c>
      <c r="F83" s="30">
        <f t="shared" si="16"/>
        <v>0.432054713053821</v>
      </c>
      <c r="G83" s="107">
        <v>1219</v>
      </c>
      <c r="H83" s="30">
        <f t="shared" si="17"/>
        <v>0.18123699078203984</v>
      </c>
      <c r="I83" s="107">
        <v>80</v>
      </c>
      <c r="J83" s="30">
        <f t="shared" si="18"/>
        <v>0.011894142134998514</v>
      </c>
      <c r="K83" s="107">
        <v>58</v>
      </c>
      <c r="L83" s="30">
        <f t="shared" si="19"/>
        <v>0.008623253047873923</v>
      </c>
      <c r="M83" s="107">
        <v>0</v>
      </c>
      <c r="N83" s="30">
        <f t="shared" si="20"/>
        <v>0</v>
      </c>
      <c r="O83" s="107">
        <v>0</v>
      </c>
      <c r="P83" s="30">
        <f t="shared" si="21"/>
        <v>0</v>
      </c>
      <c r="Q83" s="107">
        <v>63</v>
      </c>
      <c r="R83" s="30">
        <f t="shared" si="22"/>
        <v>0.00936663693131133</v>
      </c>
      <c r="S83" s="107">
        <v>15</v>
      </c>
      <c r="T83" s="30">
        <f t="shared" si="23"/>
        <v>0.0022301516503122213</v>
      </c>
      <c r="U83" s="29">
        <f t="shared" si="24"/>
        <v>6726</v>
      </c>
      <c r="V83" s="29">
        <v>131</v>
      </c>
      <c r="W83" s="38">
        <f t="shared" si="14"/>
        <v>6857</v>
      </c>
      <c r="X83" s="61">
        <v>0</v>
      </c>
      <c r="Y83" s="61">
        <v>0</v>
      </c>
      <c r="Z83" s="61">
        <v>0</v>
      </c>
      <c r="AB83" s="33">
        <f t="shared" si="25"/>
        <v>2906</v>
      </c>
      <c r="AC83" s="34">
        <f t="shared" si="26"/>
        <v>0.432054713053821</v>
      </c>
    </row>
    <row r="84" spans="1:29" ht="12.75">
      <c r="A84" s="35">
        <v>77</v>
      </c>
      <c r="B84" s="36" t="s">
        <v>82</v>
      </c>
      <c r="C84" s="37">
        <v>3592</v>
      </c>
      <c r="D84" s="30">
        <f t="shared" si="15"/>
        <v>0.18345250255362616</v>
      </c>
      <c r="E84" s="29">
        <v>6768</v>
      </c>
      <c r="F84" s="30">
        <f t="shared" si="16"/>
        <v>0.345658835546476</v>
      </c>
      <c r="G84" s="107">
        <v>6981</v>
      </c>
      <c r="H84" s="30">
        <f t="shared" si="17"/>
        <v>0.35653728294177733</v>
      </c>
      <c r="I84" s="107">
        <v>1500</v>
      </c>
      <c r="J84" s="30">
        <f t="shared" si="18"/>
        <v>0.07660878447395301</v>
      </c>
      <c r="K84" s="107">
        <v>424</v>
      </c>
      <c r="L84" s="30">
        <f t="shared" si="19"/>
        <v>0.021654749744637384</v>
      </c>
      <c r="M84" s="107">
        <v>72</v>
      </c>
      <c r="N84" s="30">
        <f t="shared" si="20"/>
        <v>0.0036772216547497445</v>
      </c>
      <c r="O84" s="107">
        <v>0</v>
      </c>
      <c r="P84" s="30">
        <f t="shared" si="21"/>
        <v>0</v>
      </c>
      <c r="Q84" s="107">
        <v>232</v>
      </c>
      <c r="R84" s="30">
        <f t="shared" si="22"/>
        <v>0.011848825331971399</v>
      </c>
      <c r="S84" s="107">
        <v>11</v>
      </c>
      <c r="T84" s="30">
        <f t="shared" si="23"/>
        <v>0.0005617977528089888</v>
      </c>
      <c r="U84" s="29">
        <f t="shared" si="24"/>
        <v>19580</v>
      </c>
      <c r="V84" s="29">
        <v>378</v>
      </c>
      <c r="W84" s="38">
        <f t="shared" si="14"/>
        <v>19958</v>
      </c>
      <c r="X84" s="61">
        <v>0</v>
      </c>
      <c r="Y84" s="61">
        <v>0</v>
      </c>
      <c r="Z84" s="61">
        <v>0</v>
      </c>
      <c r="AB84" s="33">
        <f t="shared" si="25"/>
        <v>6981</v>
      </c>
      <c r="AC84" s="34">
        <f t="shared" si="26"/>
        <v>0.35653728294177733</v>
      </c>
    </row>
    <row r="85" spans="1:29" ht="12.75">
      <c r="A85" s="35">
        <v>78</v>
      </c>
      <c r="B85" s="36" t="s">
        <v>83</v>
      </c>
      <c r="C85" s="37">
        <v>54</v>
      </c>
      <c r="D85" s="30">
        <f t="shared" si="15"/>
        <v>0.026812313803376366</v>
      </c>
      <c r="E85" s="29">
        <v>571</v>
      </c>
      <c r="F85" s="30">
        <f t="shared" si="16"/>
        <v>0.28351539225422046</v>
      </c>
      <c r="G85" s="107">
        <v>370</v>
      </c>
      <c r="H85" s="30">
        <f t="shared" si="17"/>
        <v>0.18371400198609733</v>
      </c>
      <c r="I85" s="107">
        <v>975</v>
      </c>
      <c r="J85" s="30">
        <f t="shared" si="18"/>
        <v>0.484111221449851</v>
      </c>
      <c r="K85" s="107">
        <v>0</v>
      </c>
      <c r="L85" s="30">
        <f t="shared" si="19"/>
        <v>0</v>
      </c>
      <c r="M85" s="107">
        <v>0</v>
      </c>
      <c r="N85" s="30">
        <f t="shared" si="20"/>
        <v>0</v>
      </c>
      <c r="O85" s="107">
        <v>3</v>
      </c>
      <c r="P85" s="30">
        <f t="shared" si="21"/>
        <v>0.0014895729890764648</v>
      </c>
      <c r="Q85" s="107">
        <v>41</v>
      </c>
      <c r="R85" s="30">
        <f t="shared" si="22"/>
        <v>0.02035749751737835</v>
      </c>
      <c r="S85" s="107">
        <v>0</v>
      </c>
      <c r="T85" s="30">
        <f t="shared" si="23"/>
        <v>0</v>
      </c>
      <c r="U85" s="29">
        <f t="shared" si="24"/>
        <v>2014</v>
      </c>
      <c r="V85" s="29">
        <v>62</v>
      </c>
      <c r="W85" s="38">
        <f t="shared" si="14"/>
        <v>2076</v>
      </c>
      <c r="X85" s="61">
        <v>0</v>
      </c>
      <c r="Y85" s="61">
        <v>0</v>
      </c>
      <c r="Z85" s="61">
        <v>0</v>
      </c>
      <c r="AB85" s="33">
        <f t="shared" si="25"/>
        <v>975</v>
      </c>
      <c r="AC85" s="34">
        <f t="shared" si="26"/>
        <v>0.484111221449851</v>
      </c>
    </row>
    <row r="86" spans="1:29" ht="12.75">
      <c r="A86" s="35">
        <v>79</v>
      </c>
      <c r="B86" s="36" t="s">
        <v>84</v>
      </c>
      <c r="C86" s="37">
        <v>983</v>
      </c>
      <c r="D86" s="30">
        <f t="shared" si="15"/>
        <v>0.29796908153986057</v>
      </c>
      <c r="E86" s="29">
        <v>1127</v>
      </c>
      <c r="F86" s="30">
        <f t="shared" si="16"/>
        <v>0.34161867232494697</v>
      </c>
      <c r="G86" s="107">
        <v>951</v>
      </c>
      <c r="H86" s="30">
        <f t="shared" si="17"/>
        <v>0.288269172476508</v>
      </c>
      <c r="I86" s="107">
        <v>222</v>
      </c>
      <c r="J86" s="30">
        <f t="shared" si="18"/>
        <v>0.06729311912700818</v>
      </c>
      <c r="K86" s="107">
        <v>0</v>
      </c>
      <c r="L86" s="30">
        <f t="shared" si="19"/>
        <v>0</v>
      </c>
      <c r="M86" s="107">
        <v>14</v>
      </c>
      <c r="N86" s="30">
        <f t="shared" si="20"/>
        <v>0.004243710215216732</v>
      </c>
      <c r="O86" s="107">
        <v>0</v>
      </c>
      <c r="P86" s="30">
        <f t="shared" si="21"/>
        <v>0</v>
      </c>
      <c r="Q86" s="107">
        <v>0</v>
      </c>
      <c r="R86" s="30">
        <f t="shared" si="22"/>
        <v>0</v>
      </c>
      <c r="S86" s="107">
        <v>2</v>
      </c>
      <c r="T86" s="30">
        <f t="shared" si="23"/>
        <v>0.0006062443164595332</v>
      </c>
      <c r="U86" s="29">
        <f t="shared" si="24"/>
        <v>3299</v>
      </c>
      <c r="V86" s="29">
        <v>74</v>
      </c>
      <c r="W86" s="38">
        <f t="shared" si="14"/>
        <v>3373</v>
      </c>
      <c r="X86" s="61">
        <v>0</v>
      </c>
      <c r="Y86" s="61">
        <v>0</v>
      </c>
      <c r="Z86" s="61">
        <v>0</v>
      </c>
      <c r="AB86" s="33">
        <f t="shared" si="25"/>
        <v>1127</v>
      </c>
      <c r="AC86" s="34">
        <f t="shared" si="26"/>
        <v>0.34161867232494697</v>
      </c>
    </row>
    <row r="87" spans="1:29" ht="12.75">
      <c r="A87" s="35">
        <v>80</v>
      </c>
      <c r="B87" s="36" t="s">
        <v>85</v>
      </c>
      <c r="C87" s="37">
        <v>2388</v>
      </c>
      <c r="D87" s="30">
        <f t="shared" si="15"/>
        <v>0.5413738381319428</v>
      </c>
      <c r="E87" s="29">
        <v>1958</v>
      </c>
      <c r="F87" s="30">
        <f t="shared" si="16"/>
        <v>0.44389027431421446</v>
      </c>
      <c r="G87" s="107">
        <v>27</v>
      </c>
      <c r="H87" s="30">
        <f t="shared" si="17"/>
        <v>0.006121060983903877</v>
      </c>
      <c r="I87" s="107">
        <v>21</v>
      </c>
      <c r="J87" s="30">
        <f t="shared" si="18"/>
        <v>0.004760825209703015</v>
      </c>
      <c r="K87" s="107">
        <v>0</v>
      </c>
      <c r="L87" s="30">
        <f t="shared" si="19"/>
        <v>0</v>
      </c>
      <c r="M87" s="107">
        <v>7</v>
      </c>
      <c r="N87" s="30">
        <f t="shared" si="20"/>
        <v>0.0015869417365676718</v>
      </c>
      <c r="O87" s="107">
        <v>10</v>
      </c>
      <c r="P87" s="30">
        <f t="shared" si="21"/>
        <v>0.0022670596236681025</v>
      </c>
      <c r="Q87" s="107">
        <v>0</v>
      </c>
      <c r="R87" s="30">
        <f t="shared" si="22"/>
        <v>0</v>
      </c>
      <c r="S87" s="107">
        <v>0</v>
      </c>
      <c r="T87" s="30">
        <f t="shared" si="23"/>
        <v>0</v>
      </c>
      <c r="U87" s="29">
        <f t="shared" si="24"/>
        <v>4411</v>
      </c>
      <c r="V87" s="29">
        <v>90</v>
      </c>
      <c r="W87" s="38">
        <f t="shared" si="14"/>
        <v>4501</v>
      </c>
      <c r="X87" s="61">
        <v>0</v>
      </c>
      <c r="Y87" s="61">
        <v>0</v>
      </c>
      <c r="Z87" s="61">
        <v>0</v>
      </c>
      <c r="AB87" s="33">
        <f t="shared" si="25"/>
        <v>2388</v>
      </c>
      <c r="AC87" s="34">
        <f t="shared" si="26"/>
        <v>0.5413738381319428</v>
      </c>
    </row>
    <row r="88" spans="1:29" ht="15">
      <c r="A88" s="35">
        <v>81</v>
      </c>
      <c r="B88" s="110" t="s">
        <v>189</v>
      </c>
      <c r="C88" s="37">
        <v>3484</v>
      </c>
      <c r="D88" s="30">
        <f t="shared" si="15"/>
        <v>0.4280624155301634</v>
      </c>
      <c r="E88" s="29">
        <v>4020</v>
      </c>
      <c r="F88" s="30">
        <f t="shared" si="16"/>
        <v>0.4939181717655732</v>
      </c>
      <c r="G88" s="107">
        <v>526</v>
      </c>
      <c r="H88" s="30">
        <f t="shared" si="17"/>
        <v>0.06462710406683868</v>
      </c>
      <c r="I88" s="107">
        <v>57</v>
      </c>
      <c r="J88" s="30">
        <f t="shared" si="18"/>
        <v>0.007003317360855142</v>
      </c>
      <c r="K88" s="107">
        <v>3</v>
      </c>
      <c r="L88" s="30">
        <f t="shared" si="19"/>
        <v>0.00036859565057132326</v>
      </c>
      <c r="M88" s="107">
        <v>19</v>
      </c>
      <c r="N88" s="30">
        <f t="shared" si="20"/>
        <v>0.0023344391202850473</v>
      </c>
      <c r="O88" s="107">
        <v>30</v>
      </c>
      <c r="P88" s="30">
        <f t="shared" si="21"/>
        <v>0.003685956505713233</v>
      </c>
      <c r="Q88" s="107">
        <v>0</v>
      </c>
      <c r="R88" s="30">
        <f t="shared" si="22"/>
        <v>0</v>
      </c>
      <c r="S88" s="107">
        <v>0</v>
      </c>
      <c r="T88" s="30">
        <f t="shared" si="23"/>
        <v>0</v>
      </c>
      <c r="U88" s="29">
        <f t="shared" si="24"/>
        <v>8139</v>
      </c>
      <c r="V88" s="29">
        <v>302</v>
      </c>
      <c r="W88" s="38">
        <f t="shared" si="14"/>
        <v>8441</v>
      </c>
      <c r="X88" s="61">
        <f>'Cas anuladas TEEM'!O98</f>
        <v>247</v>
      </c>
      <c r="Y88" s="61">
        <v>0</v>
      </c>
      <c r="Z88" s="61">
        <v>0</v>
      </c>
      <c r="AB88" s="33">
        <f t="shared" si="25"/>
        <v>4020</v>
      </c>
      <c r="AC88" s="34">
        <f t="shared" si="26"/>
        <v>0.4939181717655732</v>
      </c>
    </row>
    <row r="89" spans="1:29" ht="15">
      <c r="A89" s="35">
        <v>82</v>
      </c>
      <c r="B89" s="110" t="s">
        <v>220</v>
      </c>
      <c r="C89" s="37">
        <v>16318</v>
      </c>
      <c r="D89" s="30">
        <f t="shared" si="15"/>
        <v>0.3187109375</v>
      </c>
      <c r="E89" s="29">
        <v>25959</v>
      </c>
      <c r="F89" s="30">
        <f t="shared" si="16"/>
        <v>0.50701171875</v>
      </c>
      <c r="G89" s="107">
        <v>6906</v>
      </c>
      <c r="H89" s="30">
        <f t="shared" si="17"/>
        <v>0.1348828125</v>
      </c>
      <c r="I89" s="107">
        <v>299</v>
      </c>
      <c r="J89" s="30">
        <f t="shared" si="18"/>
        <v>0.00583984375</v>
      </c>
      <c r="K89" s="107">
        <v>976</v>
      </c>
      <c r="L89" s="30">
        <f t="shared" si="19"/>
        <v>0.0190625</v>
      </c>
      <c r="M89" s="107">
        <v>188</v>
      </c>
      <c r="N89" s="30">
        <f t="shared" si="20"/>
        <v>0.003671875</v>
      </c>
      <c r="O89" s="107">
        <v>175</v>
      </c>
      <c r="P89" s="30">
        <f t="shared" si="21"/>
        <v>0.00341796875</v>
      </c>
      <c r="Q89" s="107">
        <v>360</v>
      </c>
      <c r="R89" s="30">
        <f t="shared" si="22"/>
        <v>0.00703125</v>
      </c>
      <c r="S89" s="107">
        <v>19</v>
      </c>
      <c r="T89" s="30">
        <f t="shared" si="23"/>
        <v>0.00037109375</v>
      </c>
      <c r="U89" s="29">
        <f t="shared" si="24"/>
        <v>51200</v>
      </c>
      <c r="V89" s="29">
        <v>938</v>
      </c>
      <c r="W89" s="38">
        <f t="shared" si="14"/>
        <v>52138</v>
      </c>
      <c r="X89" s="61">
        <v>0</v>
      </c>
      <c r="Y89" s="61">
        <v>0</v>
      </c>
      <c r="Z89" s="61">
        <f>-'Cas anuladas TEPJF'!O90</f>
        <v>504</v>
      </c>
      <c r="AB89" s="33">
        <f t="shared" si="25"/>
        <v>25959</v>
      </c>
      <c r="AC89" s="34">
        <f t="shared" si="26"/>
        <v>0.50701171875</v>
      </c>
    </row>
    <row r="90" spans="1:29" ht="12.75">
      <c r="A90" s="35">
        <v>83</v>
      </c>
      <c r="B90" s="36" t="s">
        <v>25</v>
      </c>
      <c r="C90" s="37">
        <v>1064</v>
      </c>
      <c r="D90" s="30">
        <f t="shared" si="15"/>
        <v>0.05147805892883062</v>
      </c>
      <c r="E90" s="29">
        <v>8958</v>
      </c>
      <c r="F90" s="30">
        <f t="shared" si="16"/>
        <v>0.433402680342542</v>
      </c>
      <c r="G90" s="107">
        <v>9912</v>
      </c>
      <c r="H90" s="30">
        <f t="shared" si="17"/>
        <v>0.47955875949489574</v>
      </c>
      <c r="I90" s="107">
        <v>396</v>
      </c>
      <c r="J90" s="30">
        <f t="shared" si="18"/>
        <v>0.019159127195316657</v>
      </c>
      <c r="K90" s="107">
        <v>179</v>
      </c>
      <c r="L90" s="30">
        <f t="shared" si="19"/>
        <v>0.008660312545357781</v>
      </c>
      <c r="M90" s="107">
        <v>55</v>
      </c>
      <c r="N90" s="30">
        <f t="shared" si="20"/>
        <v>0.0026609898882384245</v>
      </c>
      <c r="O90" s="107">
        <v>47</v>
      </c>
      <c r="P90" s="30">
        <f t="shared" si="21"/>
        <v>0.002273936813585563</v>
      </c>
      <c r="Q90" s="107">
        <v>50</v>
      </c>
      <c r="R90" s="30">
        <f t="shared" si="22"/>
        <v>0.002419081716580386</v>
      </c>
      <c r="S90" s="107">
        <v>8</v>
      </c>
      <c r="T90" s="30">
        <f t="shared" si="23"/>
        <v>0.0003870530746528618</v>
      </c>
      <c r="U90" s="29">
        <f t="shared" si="24"/>
        <v>20669</v>
      </c>
      <c r="V90" s="29">
        <v>841</v>
      </c>
      <c r="W90" s="38">
        <f t="shared" si="14"/>
        <v>21510</v>
      </c>
      <c r="X90" s="61">
        <v>0</v>
      </c>
      <c r="Y90" s="61">
        <v>0</v>
      </c>
      <c r="Z90" s="61">
        <v>0</v>
      </c>
      <c r="AB90" s="33">
        <f t="shared" si="25"/>
        <v>9912</v>
      </c>
      <c r="AC90" s="34">
        <f t="shared" si="26"/>
        <v>0.47955875949489574</v>
      </c>
    </row>
    <row r="91" spans="1:29" ht="12.75">
      <c r="A91" s="35">
        <v>84</v>
      </c>
      <c r="B91" s="36" t="s">
        <v>86</v>
      </c>
      <c r="C91" s="37">
        <v>526</v>
      </c>
      <c r="D91" s="30">
        <f t="shared" si="15"/>
        <v>0.18456140350877193</v>
      </c>
      <c r="E91" s="29">
        <v>952</v>
      </c>
      <c r="F91" s="30">
        <f t="shared" si="16"/>
        <v>0.33403508771929824</v>
      </c>
      <c r="G91" s="107">
        <v>1331</v>
      </c>
      <c r="H91" s="30">
        <f t="shared" si="17"/>
        <v>0.4670175438596491</v>
      </c>
      <c r="I91" s="107">
        <v>33</v>
      </c>
      <c r="J91" s="30">
        <f t="shared" si="18"/>
        <v>0.011578947368421053</v>
      </c>
      <c r="K91" s="107">
        <v>0</v>
      </c>
      <c r="L91" s="30">
        <f t="shared" si="19"/>
        <v>0</v>
      </c>
      <c r="M91" s="107">
        <v>8</v>
      </c>
      <c r="N91" s="30">
        <f t="shared" si="20"/>
        <v>0.002807017543859649</v>
      </c>
      <c r="O91" s="107">
        <v>0</v>
      </c>
      <c r="P91" s="30">
        <f t="shared" si="21"/>
        <v>0</v>
      </c>
      <c r="Q91" s="107">
        <v>0</v>
      </c>
      <c r="R91" s="30">
        <f t="shared" si="22"/>
        <v>0</v>
      </c>
      <c r="S91" s="107">
        <v>0</v>
      </c>
      <c r="T91" s="30">
        <f t="shared" si="23"/>
        <v>0</v>
      </c>
      <c r="U91" s="29">
        <f t="shared" si="24"/>
        <v>2850</v>
      </c>
      <c r="V91" s="29">
        <v>74</v>
      </c>
      <c r="W91" s="38">
        <f t="shared" si="14"/>
        <v>2924</v>
      </c>
      <c r="X91" s="61">
        <v>0</v>
      </c>
      <c r="Y91" s="61">
        <v>0</v>
      </c>
      <c r="Z91" s="61">
        <v>0</v>
      </c>
      <c r="AB91" s="33">
        <f t="shared" si="25"/>
        <v>1331</v>
      </c>
      <c r="AC91" s="34">
        <f t="shared" si="26"/>
        <v>0.4670175438596491</v>
      </c>
    </row>
    <row r="92" spans="1:29" ht="12.75">
      <c r="A92" s="35">
        <v>85</v>
      </c>
      <c r="B92" s="36" t="s">
        <v>87</v>
      </c>
      <c r="C92" s="37">
        <v>4789</v>
      </c>
      <c r="D92" s="30">
        <f t="shared" si="15"/>
        <v>0.49823137744486057</v>
      </c>
      <c r="E92" s="29">
        <v>4072</v>
      </c>
      <c r="F92" s="30">
        <f t="shared" si="16"/>
        <v>0.42363712026633377</v>
      </c>
      <c r="G92" s="107">
        <v>627</v>
      </c>
      <c r="H92" s="30">
        <f t="shared" si="17"/>
        <v>0.06523096129837704</v>
      </c>
      <c r="I92" s="107">
        <v>102</v>
      </c>
      <c r="J92" s="30">
        <f t="shared" si="18"/>
        <v>0.010611735330836454</v>
      </c>
      <c r="K92" s="107">
        <v>0</v>
      </c>
      <c r="L92" s="30">
        <f t="shared" si="19"/>
        <v>0</v>
      </c>
      <c r="M92" s="107">
        <v>0</v>
      </c>
      <c r="N92" s="30">
        <f t="shared" si="20"/>
        <v>0</v>
      </c>
      <c r="O92" s="107">
        <v>17</v>
      </c>
      <c r="P92" s="30">
        <f t="shared" si="21"/>
        <v>0.0017686225551394091</v>
      </c>
      <c r="Q92" s="107">
        <v>0</v>
      </c>
      <c r="R92" s="30">
        <f t="shared" si="22"/>
        <v>0</v>
      </c>
      <c r="S92" s="107">
        <v>5</v>
      </c>
      <c r="T92" s="30">
        <f t="shared" si="23"/>
        <v>0.0005201831044527674</v>
      </c>
      <c r="U92" s="29">
        <f t="shared" si="24"/>
        <v>9612</v>
      </c>
      <c r="V92" s="29">
        <v>205</v>
      </c>
      <c r="W92" s="38">
        <f t="shared" si="14"/>
        <v>9817</v>
      </c>
      <c r="X92" s="61">
        <v>0</v>
      </c>
      <c r="Y92" s="61">
        <v>0</v>
      </c>
      <c r="Z92" s="61">
        <v>0</v>
      </c>
      <c r="AB92" s="33">
        <f t="shared" si="25"/>
        <v>4789</v>
      </c>
      <c r="AC92" s="34">
        <f t="shared" si="26"/>
        <v>0.49823137744486057</v>
      </c>
    </row>
    <row r="93" spans="1:29" ht="12.75">
      <c r="A93" s="35">
        <v>86</v>
      </c>
      <c r="B93" s="36" t="s">
        <v>88</v>
      </c>
      <c r="C93" s="37">
        <v>2214</v>
      </c>
      <c r="D93" s="30">
        <f t="shared" si="15"/>
        <v>0.12211130108653687</v>
      </c>
      <c r="E93" s="29">
        <v>8579</v>
      </c>
      <c r="F93" s="30">
        <f t="shared" si="16"/>
        <v>0.47316750317136397</v>
      </c>
      <c r="G93" s="107">
        <v>6871</v>
      </c>
      <c r="H93" s="30">
        <f t="shared" si="17"/>
        <v>0.3789642049528432</v>
      </c>
      <c r="I93" s="107">
        <v>315</v>
      </c>
      <c r="J93" s="30">
        <f t="shared" si="18"/>
        <v>0.017373559097678012</v>
      </c>
      <c r="K93" s="107">
        <v>0</v>
      </c>
      <c r="L93" s="30">
        <f t="shared" si="19"/>
        <v>0</v>
      </c>
      <c r="M93" s="107">
        <v>38</v>
      </c>
      <c r="N93" s="30">
        <f t="shared" si="20"/>
        <v>0.00209585792289449</v>
      </c>
      <c r="O93" s="107">
        <v>106</v>
      </c>
      <c r="P93" s="30">
        <f t="shared" si="21"/>
        <v>0.005846340521758315</v>
      </c>
      <c r="Q93" s="107">
        <v>0</v>
      </c>
      <c r="R93" s="30">
        <f t="shared" si="22"/>
        <v>0</v>
      </c>
      <c r="S93" s="107">
        <v>8</v>
      </c>
      <c r="T93" s="30">
        <f t="shared" si="23"/>
        <v>0.0004412332469251558</v>
      </c>
      <c r="U93" s="29">
        <f t="shared" si="24"/>
        <v>18131</v>
      </c>
      <c r="V93" s="29">
        <v>1003</v>
      </c>
      <c r="W93" s="38">
        <f t="shared" si="14"/>
        <v>19134</v>
      </c>
      <c r="X93" s="61">
        <v>0</v>
      </c>
      <c r="Y93" s="61">
        <v>0</v>
      </c>
      <c r="Z93" s="61">
        <v>0</v>
      </c>
      <c r="AB93" s="33">
        <f t="shared" si="25"/>
        <v>8579</v>
      </c>
      <c r="AC93" s="34">
        <f t="shared" si="26"/>
        <v>0.47316750317136397</v>
      </c>
    </row>
    <row r="94" spans="1:29" ht="12.75">
      <c r="A94" s="35">
        <v>87</v>
      </c>
      <c r="B94" s="36" t="s">
        <v>89</v>
      </c>
      <c r="C94" s="37">
        <v>4115</v>
      </c>
      <c r="D94" s="30">
        <f t="shared" si="15"/>
        <v>0.4176392976758348</v>
      </c>
      <c r="E94" s="29">
        <v>4897</v>
      </c>
      <c r="F94" s="30">
        <f t="shared" si="16"/>
        <v>0.49700598802395207</v>
      </c>
      <c r="G94" s="107">
        <v>641</v>
      </c>
      <c r="H94" s="30">
        <f t="shared" si="17"/>
        <v>0.06505632802192225</v>
      </c>
      <c r="I94" s="107">
        <v>150</v>
      </c>
      <c r="J94" s="30">
        <f t="shared" si="18"/>
        <v>0.015223789708718157</v>
      </c>
      <c r="K94" s="107">
        <v>1</v>
      </c>
      <c r="L94" s="30">
        <f t="shared" si="19"/>
        <v>0.00010149193139145438</v>
      </c>
      <c r="M94" s="107">
        <v>1</v>
      </c>
      <c r="N94" s="30">
        <f t="shared" si="20"/>
        <v>0.00010149193139145438</v>
      </c>
      <c r="O94" s="107">
        <v>27</v>
      </c>
      <c r="P94" s="30">
        <f t="shared" si="21"/>
        <v>0.002740282147569268</v>
      </c>
      <c r="Q94" s="107">
        <v>16</v>
      </c>
      <c r="R94" s="30">
        <f t="shared" si="22"/>
        <v>0.00162387090226327</v>
      </c>
      <c r="S94" s="107">
        <v>5</v>
      </c>
      <c r="T94" s="30">
        <f t="shared" si="23"/>
        <v>0.0005074596569572719</v>
      </c>
      <c r="U94" s="29">
        <f t="shared" si="24"/>
        <v>9853</v>
      </c>
      <c r="V94" s="29">
        <v>374</v>
      </c>
      <c r="W94" s="38">
        <f t="shared" si="14"/>
        <v>10227</v>
      </c>
      <c r="X94" s="61">
        <v>0</v>
      </c>
      <c r="Y94" s="61">
        <v>0</v>
      </c>
      <c r="Z94" s="61">
        <v>0</v>
      </c>
      <c r="AB94" s="33">
        <f t="shared" si="25"/>
        <v>4897</v>
      </c>
      <c r="AC94" s="34">
        <f t="shared" si="26"/>
        <v>0.49700598802395207</v>
      </c>
    </row>
    <row r="95" spans="1:29" ht="12.75">
      <c r="A95" s="35">
        <v>88</v>
      </c>
      <c r="B95" s="36" t="s">
        <v>20</v>
      </c>
      <c r="C95" s="37">
        <v>3315</v>
      </c>
      <c r="D95" s="30">
        <f t="shared" si="15"/>
        <v>0.187192952735897</v>
      </c>
      <c r="E95" s="29">
        <v>8586</v>
      </c>
      <c r="F95" s="30">
        <f t="shared" si="16"/>
        <v>0.4848382178553278</v>
      </c>
      <c r="G95" s="107">
        <v>4514</v>
      </c>
      <c r="H95" s="30">
        <f t="shared" si="17"/>
        <v>0.25489863911005706</v>
      </c>
      <c r="I95" s="107">
        <v>1119</v>
      </c>
      <c r="J95" s="30">
        <f t="shared" si="18"/>
        <v>0.06318820938505844</v>
      </c>
      <c r="K95" s="107">
        <v>1</v>
      </c>
      <c r="L95" s="30">
        <f t="shared" si="19"/>
        <v>5.646846236376983E-05</v>
      </c>
      <c r="M95" s="107">
        <v>46</v>
      </c>
      <c r="N95" s="30">
        <f t="shared" si="20"/>
        <v>0.0025975492687334125</v>
      </c>
      <c r="O95" s="107">
        <v>118</v>
      </c>
      <c r="P95" s="30">
        <f t="shared" si="21"/>
        <v>0.00666327855892484</v>
      </c>
      <c r="Q95" s="107">
        <v>1</v>
      </c>
      <c r="R95" s="30">
        <f t="shared" si="22"/>
        <v>5.646846236376983E-05</v>
      </c>
      <c r="S95" s="107">
        <v>9</v>
      </c>
      <c r="T95" s="30">
        <f t="shared" si="23"/>
        <v>0.0005082161612739285</v>
      </c>
      <c r="U95" s="29">
        <f t="shared" si="24"/>
        <v>17709</v>
      </c>
      <c r="V95" s="29">
        <v>729</v>
      </c>
      <c r="W95" s="38">
        <f t="shared" si="14"/>
        <v>18438</v>
      </c>
      <c r="X95" s="61">
        <v>0</v>
      </c>
      <c r="Y95" s="61">
        <v>0</v>
      </c>
      <c r="Z95" s="61">
        <v>0</v>
      </c>
      <c r="AB95" s="33">
        <f t="shared" si="25"/>
        <v>8586</v>
      </c>
      <c r="AC95" s="34">
        <f t="shared" si="26"/>
        <v>0.4848382178553278</v>
      </c>
    </row>
    <row r="96" spans="1:29" ht="12.75">
      <c r="A96" s="35">
        <v>89</v>
      </c>
      <c r="B96" s="36" t="s">
        <v>24</v>
      </c>
      <c r="C96" s="37">
        <v>7597</v>
      </c>
      <c r="D96" s="30">
        <f t="shared" si="15"/>
        <v>0.37194614443084456</v>
      </c>
      <c r="E96" s="29">
        <v>9338</v>
      </c>
      <c r="F96" s="30">
        <f t="shared" si="16"/>
        <v>0.45718482252141984</v>
      </c>
      <c r="G96" s="107">
        <v>3032</v>
      </c>
      <c r="H96" s="30">
        <f t="shared" si="17"/>
        <v>0.14844553243574052</v>
      </c>
      <c r="I96" s="107">
        <v>229</v>
      </c>
      <c r="J96" s="30">
        <f t="shared" si="18"/>
        <v>0.011211750305997551</v>
      </c>
      <c r="K96" s="107">
        <v>0</v>
      </c>
      <c r="L96" s="30">
        <f t="shared" si="19"/>
        <v>0</v>
      </c>
      <c r="M96" s="107">
        <v>65</v>
      </c>
      <c r="N96" s="30">
        <f t="shared" si="20"/>
        <v>0.003182374541003672</v>
      </c>
      <c r="O96" s="107">
        <v>158</v>
      </c>
      <c r="P96" s="30">
        <f t="shared" si="21"/>
        <v>0.00773561811505508</v>
      </c>
      <c r="Q96" s="107">
        <v>2</v>
      </c>
      <c r="R96" s="30">
        <f t="shared" si="22"/>
        <v>9.791921664626683E-05</v>
      </c>
      <c r="S96" s="107">
        <v>4</v>
      </c>
      <c r="T96" s="30">
        <f t="shared" si="23"/>
        <v>0.00019583843329253365</v>
      </c>
      <c r="U96" s="29">
        <f t="shared" si="24"/>
        <v>20425</v>
      </c>
      <c r="V96" s="29">
        <v>521</v>
      </c>
      <c r="W96" s="38">
        <f t="shared" si="14"/>
        <v>20946</v>
      </c>
      <c r="X96" s="61">
        <v>0</v>
      </c>
      <c r="Y96" s="61">
        <v>0</v>
      </c>
      <c r="Z96" s="61">
        <v>0</v>
      </c>
      <c r="AB96" s="33">
        <f t="shared" si="25"/>
        <v>9338</v>
      </c>
      <c r="AC96" s="34">
        <f t="shared" si="26"/>
        <v>0.45718482252141984</v>
      </c>
    </row>
    <row r="97" spans="1:29" ht="12.75">
      <c r="A97" s="35">
        <v>90</v>
      </c>
      <c r="B97" s="36" t="s">
        <v>90</v>
      </c>
      <c r="C97" s="37">
        <v>234</v>
      </c>
      <c r="D97" s="30">
        <f t="shared" si="15"/>
        <v>0.0638123806926643</v>
      </c>
      <c r="E97" s="29">
        <v>1128</v>
      </c>
      <c r="F97" s="30">
        <f t="shared" si="16"/>
        <v>0.30760839923643307</v>
      </c>
      <c r="G97" s="107">
        <v>1279</v>
      </c>
      <c r="H97" s="30">
        <f t="shared" si="17"/>
        <v>0.34878647395691303</v>
      </c>
      <c r="I97" s="107">
        <v>709</v>
      </c>
      <c r="J97" s="30">
        <f t="shared" si="18"/>
        <v>0.193346059449141</v>
      </c>
      <c r="K97" s="107">
        <v>5</v>
      </c>
      <c r="L97" s="30">
        <f t="shared" si="19"/>
        <v>0.0013635124079629125</v>
      </c>
      <c r="M97" s="107">
        <v>21</v>
      </c>
      <c r="N97" s="30">
        <f t="shared" si="20"/>
        <v>0.005726752113444232</v>
      </c>
      <c r="O97" s="107">
        <v>225</v>
      </c>
      <c r="P97" s="30">
        <f t="shared" si="21"/>
        <v>0.06135805835833106</v>
      </c>
      <c r="Q97" s="107">
        <v>66</v>
      </c>
      <c r="R97" s="30">
        <f t="shared" si="22"/>
        <v>0.017998363785110445</v>
      </c>
      <c r="S97" s="107">
        <v>0</v>
      </c>
      <c r="T97" s="30">
        <f t="shared" si="23"/>
        <v>0</v>
      </c>
      <c r="U97" s="29">
        <f t="shared" si="24"/>
        <v>3667</v>
      </c>
      <c r="V97" s="29">
        <v>95</v>
      </c>
      <c r="W97" s="38">
        <f t="shared" si="14"/>
        <v>3762</v>
      </c>
      <c r="X97" s="61">
        <v>0</v>
      </c>
      <c r="Y97" s="61">
        <v>0</v>
      </c>
      <c r="Z97" s="61">
        <v>0</v>
      </c>
      <c r="AB97" s="33">
        <f t="shared" si="25"/>
        <v>1279</v>
      </c>
      <c r="AC97" s="34">
        <f t="shared" si="26"/>
        <v>0.34878647395691303</v>
      </c>
    </row>
    <row r="98" spans="1:29" ht="12.75">
      <c r="A98" s="35">
        <v>91</v>
      </c>
      <c r="B98" s="36" t="s">
        <v>22</v>
      </c>
      <c r="C98" s="37">
        <v>2489</v>
      </c>
      <c r="D98" s="30">
        <f t="shared" si="15"/>
        <v>0.14438192470560937</v>
      </c>
      <c r="E98" s="29">
        <v>7524</v>
      </c>
      <c r="F98" s="30">
        <f t="shared" si="16"/>
        <v>0.4364522304077963</v>
      </c>
      <c r="G98" s="107">
        <v>5927</v>
      </c>
      <c r="H98" s="30">
        <f t="shared" si="17"/>
        <v>0.34381344625558324</v>
      </c>
      <c r="I98" s="107">
        <v>1149</v>
      </c>
      <c r="J98" s="30">
        <f t="shared" si="18"/>
        <v>0.0666511978653054</v>
      </c>
      <c r="K98" s="107">
        <v>61</v>
      </c>
      <c r="L98" s="30">
        <f t="shared" si="19"/>
        <v>0.0035384883113869716</v>
      </c>
      <c r="M98" s="107">
        <v>85</v>
      </c>
      <c r="N98" s="30">
        <f t="shared" si="20"/>
        <v>0.0049306804338998785</v>
      </c>
      <c r="O98" s="107">
        <v>0</v>
      </c>
      <c r="P98" s="30">
        <f t="shared" si="21"/>
        <v>0</v>
      </c>
      <c r="Q98" s="107">
        <v>0</v>
      </c>
      <c r="R98" s="30">
        <f t="shared" si="22"/>
        <v>0</v>
      </c>
      <c r="S98" s="107">
        <v>4</v>
      </c>
      <c r="T98" s="30">
        <f t="shared" si="23"/>
        <v>0.0002320320204188178</v>
      </c>
      <c r="U98" s="29">
        <f t="shared" si="24"/>
        <v>17239</v>
      </c>
      <c r="V98" s="29">
        <v>523</v>
      </c>
      <c r="W98" s="38">
        <f t="shared" si="14"/>
        <v>17762</v>
      </c>
      <c r="X98" s="61">
        <v>0</v>
      </c>
      <c r="Y98" s="61">
        <v>0</v>
      </c>
      <c r="Z98" s="61">
        <v>0</v>
      </c>
      <c r="AB98" s="33">
        <f t="shared" si="25"/>
        <v>7524</v>
      </c>
      <c r="AC98" s="34">
        <f t="shared" si="26"/>
        <v>0.4364522304077963</v>
      </c>
    </row>
    <row r="99" spans="1:29" ht="12.75">
      <c r="A99" s="35">
        <v>92</v>
      </c>
      <c r="B99" s="36" t="s">
        <v>91</v>
      </c>
      <c r="C99" s="37">
        <v>5330</v>
      </c>
      <c r="D99" s="30">
        <f t="shared" si="15"/>
        <v>0.3058823529411765</v>
      </c>
      <c r="E99" s="29">
        <v>4668</v>
      </c>
      <c r="F99" s="30">
        <f t="shared" si="16"/>
        <v>0.2678909612625538</v>
      </c>
      <c r="G99" s="107">
        <v>4300</v>
      </c>
      <c r="H99" s="30">
        <f t="shared" si="17"/>
        <v>0.2467718794835007</v>
      </c>
      <c r="I99" s="107">
        <v>1072</v>
      </c>
      <c r="J99" s="30">
        <f t="shared" si="18"/>
        <v>0.06152080344332855</v>
      </c>
      <c r="K99" s="107">
        <v>1958</v>
      </c>
      <c r="L99" s="30">
        <f t="shared" si="19"/>
        <v>0.11236728837876614</v>
      </c>
      <c r="M99" s="107">
        <v>0</v>
      </c>
      <c r="N99" s="30">
        <f t="shared" si="20"/>
        <v>0</v>
      </c>
      <c r="O99" s="107">
        <v>95</v>
      </c>
      <c r="P99" s="30">
        <f t="shared" si="21"/>
        <v>0.0054519368723099</v>
      </c>
      <c r="Q99" s="107">
        <v>0</v>
      </c>
      <c r="R99" s="30">
        <f t="shared" si="22"/>
        <v>0</v>
      </c>
      <c r="S99" s="107">
        <v>2</v>
      </c>
      <c r="T99" s="30">
        <f t="shared" si="23"/>
        <v>0.00011477761836441894</v>
      </c>
      <c r="U99" s="29">
        <f t="shared" si="24"/>
        <v>17425</v>
      </c>
      <c r="V99" s="29">
        <v>583</v>
      </c>
      <c r="W99" s="38">
        <f t="shared" si="14"/>
        <v>18008</v>
      </c>
      <c r="X99" s="61">
        <v>0</v>
      </c>
      <c r="Y99" s="61">
        <v>0</v>
      </c>
      <c r="Z99" s="61">
        <v>0</v>
      </c>
      <c r="AB99" s="33">
        <f t="shared" si="25"/>
        <v>5330</v>
      </c>
      <c r="AC99" s="34">
        <f t="shared" si="26"/>
        <v>0.3058823529411765</v>
      </c>
    </row>
    <row r="100" spans="1:29" ht="12.75">
      <c r="A100" s="35">
        <v>93</v>
      </c>
      <c r="B100" s="36" t="s">
        <v>92</v>
      </c>
      <c r="C100" s="37">
        <v>1523</v>
      </c>
      <c r="D100" s="30">
        <f t="shared" si="15"/>
        <v>0.11635724654289861</v>
      </c>
      <c r="E100" s="29">
        <v>4431</v>
      </c>
      <c r="F100" s="30">
        <f t="shared" si="16"/>
        <v>0.33852853541141414</v>
      </c>
      <c r="G100" s="107">
        <v>4666</v>
      </c>
      <c r="H100" s="30">
        <f t="shared" si="17"/>
        <v>0.35648254259301704</v>
      </c>
      <c r="I100" s="107">
        <v>436</v>
      </c>
      <c r="J100" s="30">
        <f t="shared" si="18"/>
        <v>0.03331041332416533</v>
      </c>
      <c r="K100" s="107">
        <v>426</v>
      </c>
      <c r="L100" s="30">
        <f t="shared" si="19"/>
        <v>0.03254641301856521</v>
      </c>
      <c r="M100" s="107">
        <v>1441</v>
      </c>
      <c r="N100" s="30">
        <f t="shared" si="20"/>
        <v>0.11009244403697761</v>
      </c>
      <c r="O100" s="107">
        <v>29</v>
      </c>
      <c r="P100" s="30">
        <f t="shared" si="21"/>
        <v>0.0022156008862403544</v>
      </c>
      <c r="Q100" s="107">
        <v>136</v>
      </c>
      <c r="R100" s="30">
        <f t="shared" si="22"/>
        <v>0.010390404156161662</v>
      </c>
      <c r="S100" s="107">
        <v>1</v>
      </c>
      <c r="T100" s="30">
        <f t="shared" si="23"/>
        <v>7.640003056001223E-05</v>
      </c>
      <c r="U100" s="29">
        <f t="shared" si="24"/>
        <v>13089</v>
      </c>
      <c r="V100" s="29">
        <v>328</v>
      </c>
      <c r="W100" s="38">
        <f t="shared" si="14"/>
        <v>13417</v>
      </c>
      <c r="X100" s="61">
        <v>0</v>
      </c>
      <c r="Y100" s="61">
        <v>0</v>
      </c>
      <c r="Z100" s="61">
        <v>0</v>
      </c>
      <c r="AB100" s="33">
        <f t="shared" si="25"/>
        <v>4666</v>
      </c>
      <c r="AC100" s="34">
        <f t="shared" si="26"/>
        <v>0.35648254259301704</v>
      </c>
    </row>
    <row r="101" spans="1:29" ht="12.75">
      <c r="A101" s="35">
        <v>94</v>
      </c>
      <c r="B101" s="36" t="s">
        <v>93</v>
      </c>
      <c r="C101" s="37">
        <v>532</v>
      </c>
      <c r="D101" s="30">
        <f t="shared" si="15"/>
        <v>0.07234158281207506</v>
      </c>
      <c r="E101" s="29">
        <v>3097</v>
      </c>
      <c r="F101" s="30">
        <f t="shared" si="16"/>
        <v>0.4211313570845798</v>
      </c>
      <c r="G101" s="107">
        <v>1714</v>
      </c>
      <c r="H101" s="30">
        <f t="shared" si="17"/>
        <v>0.2330704378569486</v>
      </c>
      <c r="I101" s="107">
        <v>1926</v>
      </c>
      <c r="J101" s="30">
        <f t="shared" si="18"/>
        <v>0.2618982866467229</v>
      </c>
      <c r="K101" s="107">
        <v>0</v>
      </c>
      <c r="L101" s="30">
        <f t="shared" si="19"/>
        <v>0</v>
      </c>
      <c r="M101" s="107">
        <v>33</v>
      </c>
      <c r="N101" s="30">
        <f t="shared" si="20"/>
        <v>0.0044873538210497685</v>
      </c>
      <c r="O101" s="107">
        <v>0</v>
      </c>
      <c r="P101" s="30">
        <f t="shared" si="21"/>
        <v>0</v>
      </c>
      <c r="Q101" s="107">
        <v>52</v>
      </c>
      <c r="R101" s="30">
        <f t="shared" si="22"/>
        <v>0.0070709817786238785</v>
      </c>
      <c r="S101" s="107">
        <v>0</v>
      </c>
      <c r="T101" s="30">
        <f t="shared" si="23"/>
        <v>0</v>
      </c>
      <c r="U101" s="29">
        <f t="shared" si="24"/>
        <v>7354</v>
      </c>
      <c r="V101" s="29">
        <v>199</v>
      </c>
      <c r="W101" s="38">
        <f t="shared" si="14"/>
        <v>7553</v>
      </c>
      <c r="X101" s="61">
        <v>0</v>
      </c>
      <c r="Y101" s="61">
        <v>0</v>
      </c>
      <c r="Z101" s="61">
        <v>0</v>
      </c>
      <c r="AB101" s="33">
        <f t="shared" si="25"/>
        <v>3097</v>
      </c>
      <c r="AC101" s="34">
        <f t="shared" si="26"/>
        <v>0.4211313570845798</v>
      </c>
    </row>
    <row r="102" spans="1:29" ht="12.75">
      <c r="A102" s="35">
        <v>95</v>
      </c>
      <c r="B102" s="36" t="s">
        <v>94</v>
      </c>
      <c r="C102" s="37">
        <v>277</v>
      </c>
      <c r="D102" s="30">
        <f t="shared" si="15"/>
        <v>0.052264150943396225</v>
      </c>
      <c r="E102" s="29">
        <v>2437</v>
      </c>
      <c r="F102" s="30">
        <f t="shared" si="16"/>
        <v>0.459811320754717</v>
      </c>
      <c r="G102" s="107">
        <v>1914</v>
      </c>
      <c r="H102" s="30">
        <f t="shared" si="17"/>
        <v>0.3611320754716981</v>
      </c>
      <c r="I102" s="107">
        <v>648</v>
      </c>
      <c r="J102" s="30">
        <f t="shared" si="18"/>
        <v>0.12226415094339622</v>
      </c>
      <c r="K102" s="107">
        <v>0</v>
      </c>
      <c r="L102" s="30">
        <f t="shared" si="19"/>
        <v>0</v>
      </c>
      <c r="M102" s="107">
        <v>21</v>
      </c>
      <c r="N102" s="30">
        <f t="shared" si="20"/>
        <v>0.003962264150943396</v>
      </c>
      <c r="O102" s="107">
        <v>0</v>
      </c>
      <c r="P102" s="30">
        <f t="shared" si="21"/>
        <v>0</v>
      </c>
      <c r="Q102" s="107">
        <v>0</v>
      </c>
      <c r="R102" s="30">
        <f t="shared" si="22"/>
        <v>0</v>
      </c>
      <c r="S102" s="107">
        <v>3</v>
      </c>
      <c r="T102" s="30">
        <f t="shared" si="23"/>
        <v>0.0005660377358490566</v>
      </c>
      <c r="U102" s="29">
        <f t="shared" si="24"/>
        <v>5300</v>
      </c>
      <c r="V102" s="29">
        <v>73</v>
      </c>
      <c r="W102" s="38">
        <f t="shared" si="14"/>
        <v>5373</v>
      </c>
      <c r="X102" s="61">
        <v>0</v>
      </c>
      <c r="Y102" s="61">
        <v>0</v>
      </c>
      <c r="Z102" s="61">
        <v>0</v>
      </c>
      <c r="AB102" s="33">
        <f t="shared" si="25"/>
        <v>2437</v>
      </c>
      <c r="AC102" s="34">
        <f t="shared" si="26"/>
        <v>0.459811320754717</v>
      </c>
    </row>
    <row r="103" spans="1:29" ht="15">
      <c r="A103" s="35">
        <v>96</v>
      </c>
      <c r="B103" s="110" t="s">
        <v>159</v>
      </c>
      <c r="C103" s="37">
        <v>6280</v>
      </c>
      <c r="D103" s="30">
        <f t="shared" si="15"/>
        <v>0.4220713757645003</v>
      </c>
      <c r="E103" s="29">
        <v>5929</v>
      </c>
      <c r="F103" s="30">
        <f t="shared" si="16"/>
        <v>0.39848108071779015</v>
      </c>
      <c r="G103" s="107">
        <v>1294</v>
      </c>
      <c r="H103" s="30">
        <f t="shared" si="17"/>
        <v>0.08696821022918207</v>
      </c>
      <c r="I103" s="107">
        <v>641</v>
      </c>
      <c r="J103" s="30">
        <f t="shared" si="18"/>
        <v>0.04308085220780966</v>
      </c>
      <c r="K103" s="107">
        <v>101</v>
      </c>
      <c r="L103" s="30">
        <f t="shared" si="19"/>
        <v>0.00678809059748639</v>
      </c>
      <c r="M103" s="107">
        <v>0</v>
      </c>
      <c r="N103" s="30">
        <f t="shared" si="20"/>
        <v>0</v>
      </c>
      <c r="O103" s="107">
        <v>477</v>
      </c>
      <c r="P103" s="30">
        <f t="shared" si="21"/>
        <v>0.03205860608911889</v>
      </c>
      <c r="Q103" s="107">
        <v>157</v>
      </c>
      <c r="R103" s="30">
        <f t="shared" si="22"/>
        <v>0.010551784394112508</v>
      </c>
      <c r="S103" s="107">
        <v>0</v>
      </c>
      <c r="T103" s="30">
        <f t="shared" si="23"/>
        <v>0</v>
      </c>
      <c r="U103" s="29">
        <f t="shared" si="24"/>
        <v>14879</v>
      </c>
      <c r="V103" s="29">
        <v>287</v>
      </c>
      <c r="W103" s="38">
        <f t="shared" si="14"/>
        <v>15166</v>
      </c>
      <c r="X103" s="61">
        <f>'Cas anuladas TEEM'!O113</f>
        <v>4313</v>
      </c>
      <c r="Y103" s="61">
        <v>0</v>
      </c>
      <c r="Z103" s="61">
        <v>0</v>
      </c>
      <c r="AB103" s="33"/>
      <c r="AC103" s="34"/>
    </row>
    <row r="104" spans="1:29" ht="12.75">
      <c r="A104" s="35">
        <v>97</v>
      </c>
      <c r="B104" s="36" t="s">
        <v>95</v>
      </c>
      <c r="C104" s="37">
        <v>3835</v>
      </c>
      <c r="D104" s="30">
        <f t="shared" si="15"/>
        <v>0.3993543684265334</v>
      </c>
      <c r="E104" s="29">
        <v>4354</v>
      </c>
      <c r="F104" s="30">
        <f t="shared" si="16"/>
        <v>0.45339997917317504</v>
      </c>
      <c r="G104" s="107">
        <v>1323</v>
      </c>
      <c r="H104" s="30">
        <f t="shared" si="17"/>
        <v>0.13776944704779756</v>
      </c>
      <c r="I104" s="107">
        <v>62</v>
      </c>
      <c r="J104" s="30">
        <f t="shared" si="18"/>
        <v>0.00645631573466625</v>
      </c>
      <c r="K104" s="107">
        <v>0</v>
      </c>
      <c r="L104" s="30">
        <f t="shared" si="19"/>
        <v>0</v>
      </c>
      <c r="M104" s="107">
        <v>0</v>
      </c>
      <c r="N104" s="30">
        <f t="shared" si="20"/>
        <v>0</v>
      </c>
      <c r="O104" s="107">
        <v>28</v>
      </c>
      <c r="P104" s="30">
        <f t="shared" si="21"/>
        <v>0.0029157554930750807</v>
      </c>
      <c r="Q104" s="107">
        <v>0</v>
      </c>
      <c r="R104" s="30">
        <f t="shared" si="22"/>
        <v>0</v>
      </c>
      <c r="S104" s="107">
        <v>1</v>
      </c>
      <c r="T104" s="30">
        <f t="shared" si="23"/>
        <v>0.00010413412475268145</v>
      </c>
      <c r="U104" s="29">
        <f t="shared" si="24"/>
        <v>9603</v>
      </c>
      <c r="V104" s="29">
        <v>115</v>
      </c>
      <c r="W104" s="38">
        <f t="shared" si="14"/>
        <v>9718</v>
      </c>
      <c r="X104" s="61">
        <v>0</v>
      </c>
      <c r="Y104" s="61">
        <v>0</v>
      </c>
      <c r="Z104" s="61">
        <v>0</v>
      </c>
      <c r="AB104" s="33">
        <f t="shared" si="25"/>
        <v>4354</v>
      </c>
      <c r="AC104" s="34">
        <f t="shared" si="26"/>
        <v>0.45339997917317504</v>
      </c>
    </row>
    <row r="105" spans="1:29" ht="12.75">
      <c r="A105" s="35">
        <v>98</v>
      </c>
      <c r="B105" s="36" t="s">
        <v>96</v>
      </c>
      <c r="C105" s="37">
        <v>388</v>
      </c>
      <c r="D105" s="30">
        <f t="shared" si="15"/>
        <v>0.07185185185185185</v>
      </c>
      <c r="E105" s="29">
        <v>2861</v>
      </c>
      <c r="F105" s="30">
        <f t="shared" si="16"/>
        <v>0.5298148148148148</v>
      </c>
      <c r="G105" s="107">
        <v>2073</v>
      </c>
      <c r="H105" s="30">
        <f t="shared" si="17"/>
        <v>0.3838888888888889</v>
      </c>
      <c r="I105" s="107">
        <v>47</v>
      </c>
      <c r="J105" s="30">
        <f t="shared" si="18"/>
        <v>0.008703703703703703</v>
      </c>
      <c r="K105" s="107">
        <v>0</v>
      </c>
      <c r="L105" s="30">
        <f t="shared" si="19"/>
        <v>0</v>
      </c>
      <c r="M105" s="107">
        <v>8</v>
      </c>
      <c r="N105" s="30">
        <f t="shared" si="20"/>
        <v>0.0014814814814814814</v>
      </c>
      <c r="O105" s="107">
        <v>22</v>
      </c>
      <c r="P105" s="30">
        <f t="shared" si="21"/>
        <v>0.004074074074074074</v>
      </c>
      <c r="Q105" s="107">
        <v>0</v>
      </c>
      <c r="R105" s="30">
        <f t="shared" si="22"/>
        <v>0</v>
      </c>
      <c r="S105" s="107">
        <v>1</v>
      </c>
      <c r="T105" s="30">
        <f t="shared" si="23"/>
        <v>0.00018518518518518518</v>
      </c>
      <c r="U105" s="29">
        <f t="shared" si="24"/>
        <v>5400</v>
      </c>
      <c r="V105" s="29">
        <v>228</v>
      </c>
      <c r="W105" s="38">
        <f t="shared" si="14"/>
        <v>5628</v>
      </c>
      <c r="X105" s="61">
        <v>0</v>
      </c>
      <c r="Y105" s="61">
        <v>0</v>
      </c>
      <c r="Z105" s="61">
        <v>0</v>
      </c>
      <c r="AB105" s="33">
        <f t="shared" si="25"/>
        <v>2861</v>
      </c>
      <c r="AC105" s="34">
        <f t="shared" si="26"/>
        <v>0.5298148148148148</v>
      </c>
    </row>
    <row r="106" spans="1:29" ht="12.75">
      <c r="A106" s="35">
        <v>99</v>
      </c>
      <c r="B106" s="36" t="s">
        <v>97</v>
      </c>
      <c r="C106" s="37">
        <v>155</v>
      </c>
      <c r="D106" s="30">
        <f t="shared" si="15"/>
        <v>0.09359903381642512</v>
      </c>
      <c r="E106" s="29">
        <v>871</v>
      </c>
      <c r="F106" s="30">
        <f t="shared" si="16"/>
        <v>0.5259661835748792</v>
      </c>
      <c r="G106" s="107">
        <v>622</v>
      </c>
      <c r="H106" s="30">
        <f t="shared" si="17"/>
        <v>0.3756038647342995</v>
      </c>
      <c r="I106" s="107">
        <v>6</v>
      </c>
      <c r="J106" s="30">
        <f t="shared" si="18"/>
        <v>0.0036231884057971015</v>
      </c>
      <c r="K106" s="107">
        <v>0</v>
      </c>
      <c r="L106" s="30">
        <f t="shared" si="19"/>
        <v>0</v>
      </c>
      <c r="M106" s="107">
        <v>1</v>
      </c>
      <c r="N106" s="30">
        <f t="shared" si="20"/>
        <v>0.0006038647342995169</v>
      </c>
      <c r="O106" s="107">
        <v>0</v>
      </c>
      <c r="P106" s="30">
        <f t="shared" si="21"/>
        <v>0</v>
      </c>
      <c r="Q106" s="107">
        <v>0</v>
      </c>
      <c r="R106" s="30">
        <f t="shared" si="22"/>
        <v>0</v>
      </c>
      <c r="S106" s="107">
        <v>1</v>
      </c>
      <c r="T106" s="30">
        <f t="shared" si="23"/>
        <v>0.0006038647342995169</v>
      </c>
      <c r="U106" s="29">
        <f t="shared" si="24"/>
        <v>1656</v>
      </c>
      <c r="V106" s="29">
        <v>115</v>
      </c>
      <c r="W106" s="38">
        <f t="shared" si="14"/>
        <v>1771</v>
      </c>
      <c r="X106" s="61">
        <v>0</v>
      </c>
      <c r="Y106" s="61">
        <v>0</v>
      </c>
      <c r="Z106" s="61">
        <v>0</v>
      </c>
      <c r="AB106" s="33">
        <f t="shared" si="25"/>
        <v>871</v>
      </c>
      <c r="AC106" s="34">
        <f t="shared" si="26"/>
        <v>0.5259661835748792</v>
      </c>
    </row>
    <row r="107" spans="1:29" ht="15">
      <c r="A107" s="35">
        <v>100</v>
      </c>
      <c r="B107" s="110" t="s">
        <v>157</v>
      </c>
      <c r="C107" s="37">
        <v>7203</v>
      </c>
      <c r="D107" s="30">
        <f t="shared" si="15"/>
        <v>0.152209285125626</v>
      </c>
      <c r="E107" s="29">
        <v>16443</v>
      </c>
      <c r="F107" s="30">
        <f t="shared" si="16"/>
        <v>0.34746317858123954</v>
      </c>
      <c r="G107" s="107">
        <v>18797</v>
      </c>
      <c r="H107" s="30">
        <f t="shared" si="17"/>
        <v>0.3972064323901697</v>
      </c>
      <c r="I107" s="107">
        <v>732</v>
      </c>
      <c r="J107" s="30">
        <f t="shared" si="18"/>
        <v>0.015468165585444709</v>
      </c>
      <c r="K107" s="107">
        <v>1031</v>
      </c>
      <c r="L107" s="30">
        <f t="shared" si="19"/>
        <v>0.02178644633687636</v>
      </c>
      <c r="M107" s="107">
        <v>238</v>
      </c>
      <c r="N107" s="30">
        <f t="shared" si="20"/>
        <v>0.005029266952644592</v>
      </c>
      <c r="O107" s="107">
        <v>602</v>
      </c>
      <c r="P107" s="30">
        <f t="shared" si="21"/>
        <v>0.01272108699786573</v>
      </c>
      <c r="Q107" s="107">
        <v>2257</v>
      </c>
      <c r="R107" s="30">
        <f t="shared" si="22"/>
        <v>0.04769351055512119</v>
      </c>
      <c r="S107" s="107">
        <v>20</v>
      </c>
      <c r="T107" s="30">
        <f t="shared" si="23"/>
        <v>0.00042262747501215056</v>
      </c>
      <c r="U107" s="29">
        <f t="shared" si="24"/>
        <v>47323</v>
      </c>
      <c r="V107" s="29">
        <v>1397</v>
      </c>
      <c r="W107" s="38">
        <f t="shared" si="14"/>
        <v>48720</v>
      </c>
      <c r="X107" s="61">
        <f>'Cas anuladas TEEM'!O114</f>
        <v>218</v>
      </c>
      <c r="Y107" s="61">
        <v>0</v>
      </c>
      <c r="Z107" s="61">
        <v>0</v>
      </c>
      <c r="AB107" s="33">
        <f t="shared" si="25"/>
        <v>18797</v>
      </c>
      <c r="AC107" s="34">
        <f t="shared" si="26"/>
        <v>0.3972064323901697</v>
      </c>
    </row>
    <row r="108" spans="1:29" ht="12.75">
      <c r="A108" s="35">
        <v>101</v>
      </c>
      <c r="B108" s="36" t="s">
        <v>98</v>
      </c>
      <c r="C108" s="37">
        <v>1911</v>
      </c>
      <c r="D108" s="30">
        <f t="shared" si="15"/>
        <v>0.26585976627712854</v>
      </c>
      <c r="E108" s="29">
        <v>2173</v>
      </c>
      <c r="F108" s="30">
        <f t="shared" si="16"/>
        <v>0.3023094045631608</v>
      </c>
      <c r="G108" s="107">
        <v>1483</v>
      </c>
      <c r="H108" s="30">
        <f t="shared" si="17"/>
        <v>0.20631608235948803</v>
      </c>
      <c r="I108" s="107">
        <v>1551</v>
      </c>
      <c r="J108" s="30">
        <f t="shared" si="18"/>
        <v>0.2157762938230384</v>
      </c>
      <c r="K108" s="107">
        <v>0</v>
      </c>
      <c r="L108" s="30">
        <f t="shared" si="19"/>
        <v>0</v>
      </c>
      <c r="M108" s="107">
        <v>0</v>
      </c>
      <c r="N108" s="30">
        <f t="shared" si="20"/>
        <v>0</v>
      </c>
      <c r="O108" s="107">
        <v>67</v>
      </c>
      <c r="P108" s="30">
        <f t="shared" si="21"/>
        <v>0.009321090706733445</v>
      </c>
      <c r="Q108" s="107">
        <v>0</v>
      </c>
      <c r="R108" s="30">
        <f t="shared" si="22"/>
        <v>0</v>
      </c>
      <c r="S108" s="107">
        <v>3</v>
      </c>
      <c r="T108" s="30">
        <f t="shared" si="23"/>
        <v>0.00041736227045075126</v>
      </c>
      <c r="U108" s="29">
        <f t="shared" si="24"/>
        <v>7188</v>
      </c>
      <c r="V108" s="29">
        <v>105</v>
      </c>
      <c r="W108" s="38">
        <f t="shared" si="14"/>
        <v>7293</v>
      </c>
      <c r="X108" s="61">
        <v>0</v>
      </c>
      <c r="Y108" s="61">
        <v>0</v>
      </c>
      <c r="Z108" s="61">
        <v>0</v>
      </c>
      <c r="AB108" s="33">
        <f t="shared" si="25"/>
        <v>2173</v>
      </c>
      <c r="AC108" s="34">
        <f t="shared" si="26"/>
        <v>0.3023094045631608</v>
      </c>
    </row>
    <row r="109" spans="1:29" ht="12.75">
      <c r="A109" s="35">
        <v>102</v>
      </c>
      <c r="B109" s="36" t="s">
        <v>23</v>
      </c>
      <c r="C109" s="37">
        <v>6729</v>
      </c>
      <c r="D109" s="30">
        <f t="shared" si="15"/>
        <v>0.41883480642350307</v>
      </c>
      <c r="E109" s="29">
        <v>6241</v>
      </c>
      <c r="F109" s="30">
        <f t="shared" si="16"/>
        <v>0.38846010207892445</v>
      </c>
      <c r="G109" s="107">
        <v>2575</v>
      </c>
      <c r="H109" s="30">
        <f t="shared" si="17"/>
        <v>0.1602763600149384</v>
      </c>
      <c r="I109" s="107">
        <v>383</v>
      </c>
      <c r="J109" s="30">
        <f t="shared" si="18"/>
        <v>0.02383916345076559</v>
      </c>
      <c r="K109" s="107">
        <v>0</v>
      </c>
      <c r="L109" s="30">
        <f t="shared" si="19"/>
        <v>0</v>
      </c>
      <c r="M109" s="107">
        <v>34</v>
      </c>
      <c r="N109" s="30">
        <f t="shared" si="20"/>
        <v>0.002116270384663264</v>
      </c>
      <c r="O109" s="107">
        <v>0</v>
      </c>
      <c r="P109" s="30">
        <f t="shared" si="21"/>
        <v>0</v>
      </c>
      <c r="Q109" s="107">
        <v>103</v>
      </c>
      <c r="R109" s="30">
        <f t="shared" si="22"/>
        <v>0.006411054400597535</v>
      </c>
      <c r="S109" s="107">
        <v>1</v>
      </c>
      <c r="T109" s="30">
        <f t="shared" si="23"/>
        <v>6.224324660774306E-05</v>
      </c>
      <c r="U109" s="29">
        <f t="shared" si="24"/>
        <v>16066</v>
      </c>
      <c r="V109" s="29">
        <v>548</v>
      </c>
      <c r="W109" s="38">
        <f t="shared" si="14"/>
        <v>16614</v>
      </c>
      <c r="X109" s="61">
        <v>0</v>
      </c>
      <c r="Y109" s="61">
        <v>0</v>
      </c>
      <c r="Z109" s="61">
        <v>0</v>
      </c>
      <c r="AB109" s="33">
        <f t="shared" si="25"/>
        <v>6729</v>
      </c>
      <c r="AC109" s="34">
        <f t="shared" si="26"/>
        <v>0.41883480642350307</v>
      </c>
    </row>
    <row r="110" spans="1:29" ht="12.75">
      <c r="A110" s="35">
        <v>103</v>
      </c>
      <c r="B110" s="36" t="s">
        <v>99</v>
      </c>
      <c r="C110" s="37">
        <v>2417</v>
      </c>
      <c r="D110" s="30">
        <f t="shared" si="15"/>
        <v>0.408760358532048</v>
      </c>
      <c r="E110" s="29">
        <v>3192</v>
      </c>
      <c r="F110" s="30">
        <f t="shared" si="16"/>
        <v>0.5398274987316083</v>
      </c>
      <c r="G110" s="107">
        <v>230</v>
      </c>
      <c r="H110" s="30">
        <f t="shared" si="17"/>
        <v>0.03889734483341789</v>
      </c>
      <c r="I110" s="107">
        <v>54</v>
      </c>
      <c r="J110" s="30">
        <f t="shared" si="18"/>
        <v>0.0091324200913242</v>
      </c>
      <c r="K110" s="107">
        <v>0</v>
      </c>
      <c r="L110" s="30">
        <f t="shared" si="19"/>
        <v>0</v>
      </c>
      <c r="M110" s="107">
        <v>0</v>
      </c>
      <c r="N110" s="30">
        <f t="shared" si="20"/>
        <v>0</v>
      </c>
      <c r="O110" s="107">
        <v>16</v>
      </c>
      <c r="P110" s="30">
        <f t="shared" si="21"/>
        <v>0.0027059022492812446</v>
      </c>
      <c r="Q110" s="107">
        <v>0</v>
      </c>
      <c r="R110" s="30">
        <f t="shared" si="22"/>
        <v>0</v>
      </c>
      <c r="S110" s="107">
        <v>4</v>
      </c>
      <c r="T110" s="30">
        <f t="shared" si="23"/>
        <v>0.0006764755623203111</v>
      </c>
      <c r="U110" s="29">
        <f t="shared" si="24"/>
        <v>5913</v>
      </c>
      <c r="V110" s="29">
        <v>140</v>
      </c>
      <c r="W110" s="38">
        <f t="shared" si="14"/>
        <v>6053</v>
      </c>
      <c r="X110" s="61">
        <v>0</v>
      </c>
      <c r="Y110" s="61">
        <v>0</v>
      </c>
      <c r="Z110" s="61">
        <v>0</v>
      </c>
      <c r="AB110" s="33">
        <f t="shared" si="25"/>
        <v>3192</v>
      </c>
      <c r="AC110" s="34">
        <f t="shared" si="26"/>
        <v>0.5398274987316083</v>
      </c>
    </row>
    <row r="111" spans="1:29" ht="12.75">
      <c r="A111" s="35">
        <v>104</v>
      </c>
      <c r="B111" s="36" t="s">
        <v>100</v>
      </c>
      <c r="C111" s="37">
        <v>1980</v>
      </c>
      <c r="D111" s="30">
        <f t="shared" si="15"/>
        <v>0.14176272642657692</v>
      </c>
      <c r="E111" s="29">
        <v>4855</v>
      </c>
      <c r="F111" s="30">
        <f t="shared" si="16"/>
        <v>0.3476050690914298</v>
      </c>
      <c r="G111" s="107">
        <v>3706</v>
      </c>
      <c r="H111" s="30">
        <f t="shared" si="17"/>
        <v>0.26533972936206773</v>
      </c>
      <c r="I111" s="107">
        <v>188</v>
      </c>
      <c r="J111" s="30">
        <f t="shared" si="18"/>
        <v>0.013460299276866901</v>
      </c>
      <c r="K111" s="107">
        <v>2786</v>
      </c>
      <c r="L111" s="30">
        <f t="shared" si="19"/>
        <v>0.19947017970931483</v>
      </c>
      <c r="M111" s="107">
        <v>0</v>
      </c>
      <c r="N111" s="30">
        <f t="shared" si="20"/>
        <v>0</v>
      </c>
      <c r="O111" s="107">
        <v>103</v>
      </c>
      <c r="P111" s="30">
        <f t="shared" si="21"/>
        <v>0.007374525667645164</v>
      </c>
      <c r="Q111" s="107">
        <v>347</v>
      </c>
      <c r="R111" s="30">
        <f t="shared" si="22"/>
        <v>0.024844275792940504</v>
      </c>
      <c r="S111" s="107">
        <v>2</v>
      </c>
      <c r="T111" s="30">
        <f t="shared" si="23"/>
        <v>0.00014319467315815853</v>
      </c>
      <c r="U111" s="29">
        <f t="shared" si="24"/>
        <v>13967</v>
      </c>
      <c r="V111" s="29">
        <v>508</v>
      </c>
      <c r="W111" s="38">
        <f t="shared" si="14"/>
        <v>14475</v>
      </c>
      <c r="X111" s="61">
        <v>0</v>
      </c>
      <c r="Y111" s="61">
        <v>0</v>
      </c>
      <c r="Z111" s="61">
        <v>0</v>
      </c>
      <c r="AB111" s="33">
        <f t="shared" si="25"/>
        <v>4855</v>
      </c>
      <c r="AC111" s="34">
        <f t="shared" si="26"/>
        <v>0.3476050690914298</v>
      </c>
    </row>
    <row r="112" spans="1:29" ht="12.75">
      <c r="A112" s="35">
        <v>105</v>
      </c>
      <c r="B112" s="36" t="s">
        <v>29</v>
      </c>
      <c r="C112" s="37">
        <v>109124</v>
      </c>
      <c r="D112" s="30">
        <f t="shared" si="15"/>
        <v>0.5611065405183052</v>
      </c>
      <c r="E112" s="29">
        <v>39856</v>
      </c>
      <c r="F112" s="30">
        <f t="shared" si="16"/>
        <v>0.2049362402303579</v>
      </c>
      <c r="G112" s="107">
        <v>38200</v>
      </c>
      <c r="H112" s="30">
        <f t="shared" si="17"/>
        <v>0.19642122583299054</v>
      </c>
      <c r="I112" s="107">
        <v>1932</v>
      </c>
      <c r="J112" s="30">
        <f t="shared" si="18"/>
        <v>0.009934183463595229</v>
      </c>
      <c r="K112" s="107">
        <v>2913</v>
      </c>
      <c r="L112" s="30">
        <f t="shared" si="19"/>
        <v>0.014978403948992185</v>
      </c>
      <c r="M112" s="107">
        <v>546</v>
      </c>
      <c r="N112" s="30">
        <f t="shared" si="20"/>
        <v>0.002807486631016043</v>
      </c>
      <c r="O112" s="107">
        <v>676</v>
      </c>
      <c r="P112" s="30">
        <f t="shared" si="21"/>
        <v>0.0034759358288770055</v>
      </c>
      <c r="Q112" s="107">
        <v>542</v>
      </c>
      <c r="R112" s="30">
        <f t="shared" si="22"/>
        <v>0.0027869189633895515</v>
      </c>
      <c r="S112" s="107">
        <v>691</v>
      </c>
      <c r="T112" s="30">
        <f t="shared" si="23"/>
        <v>0.003553064582476347</v>
      </c>
      <c r="U112" s="29">
        <f t="shared" si="24"/>
        <v>194480</v>
      </c>
      <c r="V112" s="29">
        <v>5155</v>
      </c>
      <c r="W112" s="38">
        <f t="shared" si="14"/>
        <v>199635</v>
      </c>
      <c r="X112" s="61">
        <v>0</v>
      </c>
      <c r="Y112" s="61">
        <v>0</v>
      </c>
      <c r="Z112" s="61">
        <v>0</v>
      </c>
      <c r="AB112" s="33">
        <f t="shared" si="25"/>
        <v>109124</v>
      </c>
      <c r="AC112" s="34">
        <f t="shared" si="26"/>
        <v>0.5611065405183052</v>
      </c>
    </row>
    <row r="113" spans="1:29" ht="12.75">
      <c r="A113" s="35">
        <v>106</v>
      </c>
      <c r="B113" s="36" t="s">
        <v>101</v>
      </c>
      <c r="C113" s="37">
        <v>246</v>
      </c>
      <c r="D113" s="30">
        <f t="shared" si="15"/>
        <v>0.018023298410139936</v>
      </c>
      <c r="E113" s="29">
        <v>4057</v>
      </c>
      <c r="F113" s="30">
        <f t="shared" si="16"/>
        <v>0.2972378928859257</v>
      </c>
      <c r="G113" s="107">
        <v>5330</v>
      </c>
      <c r="H113" s="30">
        <f t="shared" si="17"/>
        <v>0.3905047988863653</v>
      </c>
      <c r="I113" s="107">
        <v>31</v>
      </c>
      <c r="J113" s="30">
        <f t="shared" si="18"/>
        <v>0.0022712286614403987</v>
      </c>
      <c r="K113" s="107">
        <v>3926</v>
      </c>
      <c r="L113" s="30">
        <f t="shared" si="19"/>
        <v>0.28764012015532275</v>
      </c>
      <c r="M113" s="107">
        <v>55</v>
      </c>
      <c r="N113" s="30">
        <f t="shared" si="20"/>
        <v>0.004029599238039417</v>
      </c>
      <c r="O113" s="107">
        <v>1</v>
      </c>
      <c r="P113" s="30">
        <f t="shared" si="21"/>
        <v>7.326544069162575E-05</v>
      </c>
      <c r="Q113" s="107">
        <v>0</v>
      </c>
      <c r="R113" s="30">
        <f t="shared" si="22"/>
        <v>0</v>
      </c>
      <c r="S113" s="107">
        <v>3</v>
      </c>
      <c r="T113" s="30">
        <f t="shared" si="23"/>
        <v>0.0002197963220748773</v>
      </c>
      <c r="U113" s="29">
        <f t="shared" si="24"/>
        <v>13649</v>
      </c>
      <c r="V113" s="29">
        <v>402</v>
      </c>
      <c r="W113" s="38">
        <f t="shared" si="14"/>
        <v>14051</v>
      </c>
      <c r="X113" s="61">
        <v>0</v>
      </c>
      <c r="Y113" s="61">
        <v>0</v>
      </c>
      <c r="Z113" s="61">
        <v>0</v>
      </c>
      <c r="AB113" s="33">
        <f t="shared" si="25"/>
        <v>5330</v>
      </c>
      <c r="AC113" s="34">
        <f t="shared" si="26"/>
        <v>0.3905047988863653</v>
      </c>
    </row>
    <row r="114" spans="1:29" ht="12.75">
      <c r="A114" s="35">
        <v>107</v>
      </c>
      <c r="B114" s="36" t="s">
        <v>19</v>
      </c>
      <c r="C114" s="37">
        <v>78698</v>
      </c>
      <c r="D114" s="30">
        <f t="shared" si="15"/>
        <v>0.40419303147341606</v>
      </c>
      <c r="E114" s="29">
        <v>75887</v>
      </c>
      <c r="F114" s="30">
        <f t="shared" si="16"/>
        <v>0.38975573177746736</v>
      </c>
      <c r="G114" s="107">
        <v>24898</v>
      </c>
      <c r="H114" s="30">
        <f t="shared" si="17"/>
        <v>0.12787616073629715</v>
      </c>
      <c r="I114" s="107">
        <v>6714</v>
      </c>
      <c r="J114" s="30">
        <f t="shared" si="18"/>
        <v>0.03448311282767688</v>
      </c>
      <c r="K114" s="107">
        <v>5500</v>
      </c>
      <c r="L114" s="30">
        <f t="shared" si="19"/>
        <v>0.02824800723148985</v>
      </c>
      <c r="M114" s="107">
        <v>998</v>
      </c>
      <c r="N114" s="30">
        <f t="shared" si="20"/>
        <v>0.005125729312186704</v>
      </c>
      <c r="O114" s="107">
        <v>862</v>
      </c>
      <c r="P114" s="30">
        <f t="shared" si="21"/>
        <v>0.004427233133371682</v>
      </c>
      <c r="Q114" s="107">
        <v>1089</v>
      </c>
      <c r="R114" s="30">
        <f t="shared" si="22"/>
        <v>0.005593105431834991</v>
      </c>
      <c r="S114" s="107">
        <v>58</v>
      </c>
      <c r="T114" s="30">
        <f t="shared" si="23"/>
        <v>0.00029788807625934753</v>
      </c>
      <c r="U114" s="29">
        <f t="shared" si="24"/>
        <v>194704</v>
      </c>
      <c r="V114" s="29">
        <v>5333</v>
      </c>
      <c r="W114" s="38">
        <f t="shared" si="14"/>
        <v>200037</v>
      </c>
      <c r="X114" s="61">
        <v>0</v>
      </c>
      <c r="Y114" s="61">
        <v>0</v>
      </c>
      <c r="Z114" s="61">
        <v>0</v>
      </c>
      <c r="AB114" s="33">
        <f t="shared" si="25"/>
        <v>78698</v>
      </c>
      <c r="AC114" s="34">
        <f t="shared" si="26"/>
        <v>0.40419303147341606</v>
      </c>
    </row>
    <row r="115" spans="1:29" ht="12.75">
      <c r="A115" s="35">
        <v>108</v>
      </c>
      <c r="B115" s="36" t="s">
        <v>102</v>
      </c>
      <c r="C115" s="37">
        <v>610</v>
      </c>
      <c r="D115" s="30">
        <f t="shared" si="15"/>
        <v>0.1224653683999197</v>
      </c>
      <c r="E115" s="29">
        <v>2060</v>
      </c>
      <c r="F115" s="30">
        <f t="shared" si="16"/>
        <v>0.4135715719734993</v>
      </c>
      <c r="G115" s="107">
        <v>2284</v>
      </c>
      <c r="H115" s="30">
        <f t="shared" si="17"/>
        <v>0.4585424613531419</v>
      </c>
      <c r="I115" s="107">
        <v>22</v>
      </c>
      <c r="J115" s="30">
        <f t="shared" si="18"/>
        <v>0.00441678377835776</v>
      </c>
      <c r="K115" s="107">
        <v>0</v>
      </c>
      <c r="L115" s="30">
        <f t="shared" si="19"/>
        <v>0</v>
      </c>
      <c r="M115" s="107">
        <v>3</v>
      </c>
      <c r="N115" s="30">
        <f t="shared" si="20"/>
        <v>0.0006022886970487854</v>
      </c>
      <c r="O115" s="107">
        <v>0</v>
      </c>
      <c r="P115" s="30">
        <f t="shared" si="21"/>
        <v>0</v>
      </c>
      <c r="Q115" s="107">
        <v>0</v>
      </c>
      <c r="R115" s="30">
        <f t="shared" si="22"/>
        <v>0</v>
      </c>
      <c r="S115" s="107">
        <v>2</v>
      </c>
      <c r="T115" s="30">
        <f t="shared" si="23"/>
        <v>0.0004015257980325236</v>
      </c>
      <c r="U115" s="29">
        <f t="shared" si="24"/>
        <v>4981</v>
      </c>
      <c r="V115" s="29">
        <v>168</v>
      </c>
      <c r="W115" s="38">
        <f t="shared" si="14"/>
        <v>5149</v>
      </c>
      <c r="X115" s="61">
        <v>0</v>
      </c>
      <c r="Y115" s="61">
        <v>0</v>
      </c>
      <c r="Z115" s="61">
        <v>0</v>
      </c>
      <c r="AB115" s="33">
        <f t="shared" si="25"/>
        <v>2284</v>
      </c>
      <c r="AC115" s="34">
        <f t="shared" si="26"/>
        <v>0.4585424613531419</v>
      </c>
    </row>
    <row r="116" spans="1:29" ht="12.75">
      <c r="A116" s="35">
        <v>109</v>
      </c>
      <c r="B116" s="36" t="s">
        <v>103</v>
      </c>
      <c r="C116" s="37">
        <v>6878</v>
      </c>
      <c r="D116" s="30">
        <f t="shared" si="15"/>
        <v>0.30491643392295076</v>
      </c>
      <c r="E116" s="29">
        <v>6716</v>
      </c>
      <c r="F116" s="30">
        <f t="shared" si="16"/>
        <v>0.2977346278317152</v>
      </c>
      <c r="G116" s="107">
        <v>7658</v>
      </c>
      <c r="H116" s="30">
        <f t="shared" si="17"/>
        <v>0.3394955002881589</v>
      </c>
      <c r="I116" s="107">
        <v>739</v>
      </c>
      <c r="J116" s="30">
        <f t="shared" si="18"/>
        <v>0.03276144877421643</v>
      </c>
      <c r="K116" s="107">
        <v>103</v>
      </c>
      <c r="L116" s="30">
        <f t="shared" si="19"/>
        <v>0.0045662100456621</v>
      </c>
      <c r="M116" s="107">
        <v>315</v>
      </c>
      <c r="N116" s="30">
        <f t="shared" si="20"/>
        <v>0.01396462295518021</v>
      </c>
      <c r="O116" s="107">
        <v>72</v>
      </c>
      <c r="P116" s="30">
        <f t="shared" si="21"/>
        <v>0.003191913818326905</v>
      </c>
      <c r="Q116" s="107">
        <v>75</v>
      </c>
      <c r="R116" s="30">
        <f t="shared" si="22"/>
        <v>0.0033249102274238596</v>
      </c>
      <c r="S116" s="107">
        <v>1</v>
      </c>
      <c r="T116" s="30">
        <f t="shared" si="23"/>
        <v>4.433213636565146E-05</v>
      </c>
      <c r="U116" s="29">
        <f t="shared" si="24"/>
        <v>22557</v>
      </c>
      <c r="V116" s="29">
        <v>482</v>
      </c>
      <c r="W116" s="38">
        <f t="shared" si="14"/>
        <v>23039</v>
      </c>
      <c r="X116" s="61">
        <v>0</v>
      </c>
      <c r="Y116" s="61">
        <v>0</v>
      </c>
      <c r="Z116" s="61">
        <v>0</v>
      </c>
      <c r="AB116" s="33">
        <f t="shared" si="25"/>
        <v>7658</v>
      </c>
      <c r="AC116" s="34">
        <f t="shared" si="26"/>
        <v>0.3394955002881589</v>
      </c>
    </row>
    <row r="117" spans="1:29" ht="15">
      <c r="A117" s="35">
        <v>110</v>
      </c>
      <c r="B117" s="110" t="s">
        <v>164</v>
      </c>
      <c r="C117" s="37">
        <v>18014</v>
      </c>
      <c r="D117" s="30">
        <f t="shared" si="15"/>
        <v>0.1870573819858362</v>
      </c>
      <c r="E117" s="29">
        <v>32894</v>
      </c>
      <c r="F117" s="30">
        <f t="shared" si="16"/>
        <v>0.3415713069302818</v>
      </c>
      <c r="G117" s="107">
        <v>37828</v>
      </c>
      <c r="H117" s="30">
        <f t="shared" si="17"/>
        <v>0.3928059645697909</v>
      </c>
      <c r="I117" s="107">
        <v>5292</v>
      </c>
      <c r="J117" s="30">
        <f t="shared" si="18"/>
        <v>0.05495212975846815</v>
      </c>
      <c r="K117" s="107">
        <v>686</v>
      </c>
      <c r="L117" s="30">
        <f t="shared" si="19"/>
        <v>0.007123424227949576</v>
      </c>
      <c r="M117" s="107">
        <v>877</v>
      </c>
      <c r="N117" s="30">
        <f t="shared" si="20"/>
        <v>0.009106768291416585</v>
      </c>
      <c r="O117" s="107">
        <v>371</v>
      </c>
      <c r="P117" s="30">
        <f t="shared" si="21"/>
        <v>0.003852464123278852</v>
      </c>
      <c r="Q117" s="107">
        <v>319</v>
      </c>
      <c r="R117" s="30">
        <f t="shared" si="22"/>
        <v>0.0033124961059998754</v>
      </c>
      <c r="S117" s="107">
        <v>21</v>
      </c>
      <c r="T117" s="30">
        <f t="shared" si="23"/>
        <v>0.00021806400697804823</v>
      </c>
      <c r="U117" s="29">
        <f t="shared" si="24"/>
        <v>96302</v>
      </c>
      <c r="V117" s="29">
        <v>2342</v>
      </c>
      <c r="W117" s="38">
        <f t="shared" si="14"/>
        <v>98644</v>
      </c>
      <c r="X117" s="61">
        <f>'Cas anuladas TEEM'!O129</f>
        <v>3227</v>
      </c>
      <c r="Y117" s="61">
        <v>0</v>
      </c>
      <c r="Z117" s="61">
        <v>0</v>
      </c>
      <c r="AB117" s="33">
        <f t="shared" si="25"/>
        <v>37828</v>
      </c>
      <c r="AC117" s="34">
        <f t="shared" si="26"/>
        <v>0.3928059645697909</v>
      </c>
    </row>
    <row r="118" spans="1:29" ht="12.75">
      <c r="A118" s="35">
        <v>111</v>
      </c>
      <c r="B118" s="36" t="s">
        <v>26</v>
      </c>
      <c r="C118" s="37">
        <v>8531</v>
      </c>
      <c r="D118" s="30">
        <f t="shared" si="15"/>
        <v>0.41818627450980395</v>
      </c>
      <c r="E118" s="29">
        <v>6018</v>
      </c>
      <c r="F118" s="30">
        <f t="shared" si="16"/>
        <v>0.295</v>
      </c>
      <c r="G118" s="107">
        <v>4087</v>
      </c>
      <c r="H118" s="30">
        <f t="shared" si="17"/>
        <v>0.20034313725490197</v>
      </c>
      <c r="I118" s="107">
        <v>1451</v>
      </c>
      <c r="J118" s="30">
        <f t="shared" si="18"/>
        <v>0.07112745098039215</v>
      </c>
      <c r="K118" s="107">
        <v>42</v>
      </c>
      <c r="L118" s="30">
        <f t="shared" si="19"/>
        <v>0.002058823529411765</v>
      </c>
      <c r="M118" s="107">
        <v>101</v>
      </c>
      <c r="N118" s="30">
        <f t="shared" si="20"/>
        <v>0.004950980392156862</v>
      </c>
      <c r="O118" s="107">
        <v>3</v>
      </c>
      <c r="P118" s="30">
        <f t="shared" si="21"/>
        <v>0.00014705882352941175</v>
      </c>
      <c r="Q118" s="107">
        <v>166</v>
      </c>
      <c r="R118" s="30">
        <f t="shared" si="22"/>
        <v>0.008137254901960784</v>
      </c>
      <c r="S118" s="107">
        <v>1</v>
      </c>
      <c r="T118" s="30">
        <f t="shared" si="23"/>
        <v>4.901960784313725E-05</v>
      </c>
      <c r="U118" s="29">
        <f t="shared" si="24"/>
        <v>20400</v>
      </c>
      <c r="V118" s="29">
        <v>897</v>
      </c>
      <c r="W118" s="38">
        <f t="shared" si="14"/>
        <v>21297</v>
      </c>
      <c r="X118" s="61">
        <v>0</v>
      </c>
      <c r="Y118" s="61">
        <v>0</v>
      </c>
      <c r="Z118" s="61">
        <v>0</v>
      </c>
      <c r="AB118" s="33">
        <f t="shared" si="25"/>
        <v>8531</v>
      </c>
      <c r="AC118" s="34">
        <f t="shared" si="26"/>
        <v>0.41818627450980395</v>
      </c>
    </row>
    <row r="119" spans="1:29" ht="15">
      <c r="A119" s="35">
        <v>112</v>
      </c>
      <c r="B119" s="110" t="s">
        <v>232</v>
      </c>
      <c r="C119" s="37">
        <v>3517</v>
      </c>
      <c r="D119" s="30">
        <f t="shared" si="15"/>
        <v>0.28178831824373046</v>
      </c>
      <c r="E119" s="29">
        <v>3795</v>
      </c>
      <c r="F119" s="30">
        <f t="shared" si="16"/>
        <v>0.304062174505248</v>
      </c>
      <c r="G119" s="107">
        <v>2707</v>
      </c>
      <c r="H119" s="30">
        <f t="shared" si="17"/>
        <v>0.21688967230189887</v>
      </c>
      <c r="I119" s="107">
        <v>2396</v>
      </c>
      <c r="J119" s="30">
        <f t="shared" si="18"/>
        <v>0.1919717971316401</v>
      </c>
      <c r="K119" s="107">
        <v>0</v>
      </c>
      <c r="L119" s="30">
        <f t="shared" si="19"/>
        <v>0</v>
      </c>
      <c r="M119" s="107">
        <v>4</v>
      </c>
      <c r="N119" s="30">
        <f t="shared" si="20"/>
        <v>0.00032048714045348933</v>
      </c>
      <c r="O119" s="107">
        <v>49</v>
      </c>
      <c r="P119" s="30">
        <f t="shared" si="21"/>
        <v>0.003925967470555244</v>
      </c>
      <c r="Q119" s="107">
        <v>0</v>
      </c>
      <c r="R119" s="30">
        <f t="shared" si="22"/>
        <v>0</v>
      </c>
      <c r="S119" s="107">
        <v>13</v>
      </c>
      <c r="T119" s="30">
        <f t="shared" si="23"/>
        <v>0.0010415832064738402</v>
      </c>
      <c r="U119" s="29">
        <f t="shared" si="24"/>
        <v>12481</v>
      </c>
      <c r="V119" s="29">
        <v>734</v>
      </c>
      <c r="W119" s="38">
        <f t="shared" si="14"/>
        <v>13215</v>
      </c>
      <c r="X119" s="61">
        <f>'Cas anuladas TEEM'!O132</f>
        <v>4</v>
      </c>
      <c r="Y119" s="61">
        <v>0</v>
      </c>
      <c r="Z119" s="61">
        <v>0</v>
      </c>
      <c r="AB119" s="33">
        <f t="shared" si="25"/>
        <v>3795</v>
      </c>
      <c r="AC119" s="34">
        <f t="shared" si="26"/>
        <v>0.304062174505248</v>
      </c>
    </row>
    <row r="120" spans="1:29" ht="12.75">
      <c r="A120" s="35">
        <v>113</v>
      </c>
      <c r="B120" s="36" t="s">
        <v>104</v>
      </c>
      <c r="C120" s="37">
        <v>4444</v>
      </c>
      <c r="D120" s="30">
        <f t="shared" si="15"/>
        <v>0.3309995531059139</v>
      </c>
      <c r="E120" s="29">
        <v>4275</v>
      </c>
      <c r="F120" s="30">
        <f t="shared" si="16"/>
        <v>0.3184120363473857</v>
      </c>
      <c r="G120" s="107">
        <v>1078</v>
      </c>
      <c r="H120" s="30">
        <f t="shared" si="17"/>
        <v>0.08029197080291971</v>
      </c>
      <c r="I120" s="107">
        <v>3467</v>
      </c>
      <c r="J120" s="30">
        <f t="shared" si="18"/>
        <v>0.2582302994190377</v>
      </c>
      <c r="K120" s="107">
        <v>67</v>
      </c>
      <c r="L120" s="30">
        <f t="shared" si="19"/>
        <v>0.0049903172948011325</v>
      </c>
      <c r="M120" s="107">
        <v>35</v>
      </c>
      <c r="N120" s="30">
        <f t="shared" si="20"/>
        <v>0.0026068821689259644</v>
      </c>
      <c r="O120" s="107">
        <v>60</v>
      </c>
      <c r="P120" s="30">
        <f t="shared" si="21"/>
        <v>0.004468940861015939</v>
      </c>
      <c r="Q120" s="107">
        <v>0</v>
      </c>
      <c r="R120" s="30">
        <f t="shared" si="22"/>
        <v>0</v>
      </c>
      <c r="S120" s="107">
        <v>0</v>
      </c>
      <c r="T120" s="30">
        <f t="shared" si="23"/>
        <v>0</v>
      </c>
      <c r="U120" s="29">
        <f t="shared" si="24"/>
        <v>13426</v>
      </c>
      <c r="V120" s="29">
        <v>591</v>
      </c>
      <c r="W120" s="38">
        <f t="shared" si="14"/>
        <v>14017</v>
      </c>
      <c r="X120" s="61">
        <v>0</v>
      </c>
      <c r="Y120" s="61">
        <v>0</v>
      </c>
      <c r="Z120" s="61">
        <v>0</v>
      </c>
      <c r="AB120" s="33">
        <f t="shared" si="25"/>
        <v>4444</v>
      </c>
      <c r="AC120" s="34">
        <f t="shared" si="26"/>
        <v>0.3309995531059139</v>
      </c>
    </row>
    <row r="121" spans="1:29" ht="12.75">
      <c r="A121" s="35">
        <v>114</v>
      </c>
      <c r="B121" s="36" t="s">
        <v>105</v>
      </c>
      <c r="C121" s="37">
        <v>1462</v>
      </c>
      <c r="D121" s="30">
        <f t="shared" si="15"/>
        <v>0.10382785313543072</v>
      </c>
      <c r="E121" s="29">
        <v>4550</v>
      </c>
      <c r="F121" s="30">
        <f t="shared" si="16"/>
        <v>0.3231304594844116</v>
      </c>
      <c r="G121" s="107">
        <v>5552</v>
      </c>
      <c r="H121" s="30">
        <f t="shared" si="17"/>
        <v>0.39429017825438534</v>
      </c>
      <c r="I121" s="107">
        <v>1661</v>
      </c>
      <c r="J121" s="30">
        <f t="shared" si="18"/>
        <v>0.11796037213266103</v>
      </c>
      <c r="K121" s="107">
        <v>30</v>
      </c>
      <c r="L121" s="30">
        <f t="shared" si="19"/>
        <v>0.0021305305020950216</v>
      </c>
      <c r="M121" s="107">
        <v>74</v>
      </c>
      <c r="N121" s="30">
        <f t="shared" si="20"/>
        <v>0.0052553085718343865</v>
      </c>
      <c r="O121" s="107">
        <v>0</v>
      </c>
      <c r="P121" s="30">
        <f t="shared" si="21"/>
        <v>0</v>
      </c>
      <c r="Q121" s="107">
        <v>748</v>
      </c>
      <c r="R121" s="30">
        <f t="shared" si="22"/>
        <v>0.053121227185569206</v>
      </c>
      <c r="S121" s="107">
        <v>4</v>
      </c>
      <c r="T121" s="30">
        <f t="shared" si="23"/>
        <v>0.00028407073361266956</v>
      </c>
      <c r="U121" s="29">
        <f t="shared" si="24"/>
        <v>14081</v>
      </c>
      <c r="V121" s="29">
        <v>572</v>
      </c>
      <c r="W121" s="38">
        <f t="shared" si="14"/>
        <v>14653</v>
      </c>
      <c r="X121" s="61">
        <v>0</v>
      </c>
      <c r="Y121" s="61">
        <v>0</v>
      </c>
      <c r="Z121" s="61">
        <v>0</v>
      </c>
      <c r="AB121" s="33">
        <f t="shared" si="25"/>
        <v>5552</v>
      </c>
      <c r="AC121" s="34">
        <f t="shared" si="26"/>
        <v>0.39429017825438534</v>
      </c>
    </row>
    <row r="122" spans="1:29" ht="12.75">
      <c r="A122" s="35">
        <v>115</v>
      </c>
      <c r="B122" s="36" t="s">
        <v>106</v>
      </c>
      <c r="C122" s="37">
        <v>2659</v>
      </c>
      <c r="D122" s="30">
        <f t="shared" si="15"/>
        <v>0.13754396854955514</v>
      </c>
      <c r="E122" s="29">
        <v>12257</v>
      </c>
      <c r="F122" s="30">
        <f t="shared" si="16"/>
        <v>0.6340264845851438</v>
      </c>
      <c r="G122" s="107">
        <v>3661</v>
      </c>
      <c r="H122" s="30">
        <f t="shared" si="17"/>
        <v>0.1893751293192634</v>
      </c>
      <c r="I122" s="107">
        <v>566</v>
      </c>
      <c r="J122" s="30">
        <f t="shared" si="18"/>
        <v>0.029277881233188495</v>
      </c>
      <c r="K122" s="107">
        <v>30</v>
      </c>
      <c r="L122" s="30">
        <f t="shared" si="19"/>
        <v>0.0015518311607697084</v>
      </c>
      <c r="M122" s="107">
        <v>59</v>
      </c>
      <c r="N122" s="30">
        <f t="shared" si="20"/>
        <v>0.003051934616180426</v>
      </c>
      <c r="O122" s="107">
        <v>57</v>
      </c>
      <c r="P122" s="30">
        <f t="shared" si="21"/>
        <v>0.0029484792054624456</v>
      </c>
      <c r="Q122" s="107">
        <v>26</v>
      </c>
      <c r="R122" s="30">
        <f t="shared" si="22"/>
        <v>0.0013449203393337472</v>
      </c>
      <c r="S122" s="107">
        <v>17</v>
      </c>
      <c r="T122" s="30">
        <f t="shared" si="23"/>
        <v>0.0008793709911028347</v>
      </c>
      <c r="U122" s="29">
        <f t="shared" si="24"/>
        <v>19332</v>
      </c>
      <c r="V122" s="29">
        <v>889</v>
      </c>
      <c r="W122" s="38">
        <f t="shared" si="14"/>
        <v>20221</v>
      </c>
      <c r="X122" s="61">
        <v>0</v>
      </c>
      <c r="Y122" s="61">
        <v>0</v>
      </c>
      <c r="Z122" s="61">
        <v>0</v>
      </c>
      <c r="AB122" s="33">
        <f t="shared" si="25"/>
        <v>12257</v>
      </c>
      <c r="AC122" s="34">
        <f t="shared" si="26"/>
        <v>0.6340264845851438</v>
      </c>
    </row>
    <row r="123" spans="1:29" ht="12.75">
      <c r="A123" s="35">
        <v>116</v>
      </c>
      <c r="B123" s="36" t="s">
        <v>107</v>
      </c>
      <c r="C123" s="37">
        <v>2475</v>
      </c>
      <c r="D123" s="30">
        <f t="shared" si="15"/>
        <v>0.17287141160857722</v>
      </c>
      <c r="E123" s="29">
        <v>3509</v>
      </c>
      <c r="F123" s="30">
        <f t="shared" si="16"/>
        <v>0.24509324579171615</v>
      </c>
      <c r="G123" s="107">
        <v>4434</v>
      </c>
      <c r="H123" s="30">
        <f t="shared" si="17"/>
        <v>0.30970175316057835</v>
      </c>
      <c r="I123" s="107">
        <v>3363</v>
      </c>
      <c r="J123" s="30">
        <f t="shared" si="18"/>
        <v>0.23489557868268493</v>
      </c>
      <c r="K123" s="107">
        <v>0</v>
      </c>
      <c r="L123" s="30">
        <f t="shared" si="19"/>
        <v>0</v>
      </c>
      <c r="M123" s="107">
        <v>21</v>
      </c>
      <c r="N123" s="30">
        <f t="shared" si="20"/>
        <v>0.0014667877348606552</v>
      </c>
      <c r="O123" s="107">
        <v>39</v>
      </c>
      <c r="P123" s="30">
        <f t="shared" si="21"/>
        <v>0.0027240343647412166</v>
      </c>
      <c r="Q123" s="107">
        <v>472</v>
      </c>
      <c r="R123" s="30">
        <f t="shared" si="22"/>
        <v>0.03296780051686806</v>
      </c>
      <c r="S123" s="107">
        <v>4</v>
      </c>
      <c r="T123" s="30">
        <f t="shared" si="23"/>
        <v>0.0002793881399734581</v>
      </c>
      <c r="U123" s="29">
        <f t="shared" si="24"/>
        <v>14317</v>
      </c>
      <c r="V123" s="29">
        <v>346</v>
      </c>
      <c r="W123" s="38">
        <f t="shared" si="14"/>
        <v>14663</v>
      </c>
      <c r="X123" s="61">
        <v>0</v>
      </c>
      <c r="Y123" s="61">
        <v>0</v>
      </c>
      <c r="Z123" s="61">
        <v>0</v>
      </c>
      <c r="AB123" s="33">
        <f t="shared" si="25"/>
        <v>4434</v>
      </c>
      <c r="AC123" s="34">
        <f t="shared" si="26"/>
        <v>0.30970175316057835</v>
      </c>
    </row>
    <row r="124" spans="1:29" ht="12.75">
      <c r="A124" s="35">
        <v>117</v>
      </c>
      <c r="B124" s="36" t="s">
        <v>108</v>
      </c>
      <c r="C124" s="37">
        <v>787</v>
      </c>
      <c r="D124" s="30">
        <f t="shared" si="15"/>
        <v>0.47352587244283995</v>
      </c>
      <c r="E124" s="29">
        <v>570</v>
      </c>
      <c r="F124" s="30">
        <f t="shared" si="16"/>
        <v>0.34296028880866425</v>
      </c>
      <c r="G124" s="107">
        <v>287</v>
      </c>
      <c r="H124" s="30">
        <f t="shared" si="17"/>
        <v>0.1726835138387485</v>
      </c>
      <c r="I124" s="107">
        <v>13</v>
      </c>
      <c r="J124" s="30">
        <f t="shared" si="18"/>
        <v>0.007821901323706379</v>
      </c>
      <c r="K124" s="107">
        <v>0</v>
      </c>
      <c r="L124" s="30">
        <f t="shared" si="19"/>
        <v>0</v>
      </c>
      <c r="M124" s="107">
        <v>5</v>
      </c>
      <c r="N124" s="30">
        <f t="shared" si="20"/>
        <v>0.0030084235860409147</v>
      </c>
      <c r="O124" s="107">
        <v>0</v>
      </c>
      <c r="P124" s="30">
        <f t="shared" si="21"/>
        <v>0</v>
      </c>
      <c r="Q124" s="107">
        <v>0</v>
      </c>
      <c r="R124" s="30">
        <f t="shared" si="22"/>
        <v>0</v>
      </c>
      <c r="S124" s="107">
        <v>0</v>
      </c>
      <c r="T124" s="30">
        <f t="shared" si="23"/>
        <v>0</v>
      </c>
      <c r="U124" s="29">
        <f t="shared" si="24"/>
        <v>1662</v>
      </c>
      <c r="V124" s="29">
        <v>33</v>
      </c>
      <c r="W124" s="38">
        <f t="shared" si="14"/>
        <v>1695</v>
      </c>
      <c r="X124" s="61">
        <v>0</v>
      </c>
      <c r="Y124" s="61">
        <v>0</v>
      </c>
      <c r="Z124" s="61">
        <v>0</v>
      </c>
      <c r="AB124" s="33">
        <f t="shared" si="25"/>
        <v>787</v>
      </c>
      <c r="AC124" s="34">
        <f t="shared" si="26"/>
        <v>0.47352587244283995</v>
      </c>
    </row>
    <row r="125" spans="1:29" ht="15">
      <c r="A125" s="35">
        <v>118</v>
      </c>
      <c r="B125" s="110" t="s">
        <v>191</v>
      </c>
      <c r="C125" s="37">
        <v>1018</v>
      </c>
      <c r="D125" s="30">
        <f t="shared" si="15"/>
        <v>0.21636556854410202</v>
      </c>
      <c r="E125" s="29">
        <v>1076</v>
      </c>
      <c r="F125" s="30">
        <f t="shared" si="16"/>
        <v>0.22869287991498405</v>
      </c>
      <c r="G125" s="107">
        <v>771</v>
      </c>
      <c r="H125" s="30">
        <f t="shared" si="17"/>
        <v>0.1638682252922423</v>
      </c>
      <c r="I125" s="107">
        <v>78</v>
      </c>
      <c r="J125" s="30">
        <f t="shared" si="18"/>
        <v>0.016578108395324122</v>
      </c>
      <c r="K125" s="107">
        <v>27</v>
      </c>
      <c r="L125" s="30">
        <f t="shared" si="19"/>
        <v>0.005738575982996812</v>
      </c>
      <c r="M125" s="107">
        <v>18</v>
      </c>
      <c r="N125" s="30">
        <f t="shared" si="20"/>
        <v>0.0038257173219978747</v>
      </c>
      <c r="O125" s="107">
        <v>710</v>
      </c>
      <c r="P125" s="30">
        <f t="shared" si="21"/>
        <v>0.15090329436769395</v>
      </c>
      <c r="Q125" s="107">
        <v>1005</v>
      </c>
      <c r="R125" s="30">
        <f t="shared" si="22"/>
        <v>0.21360255047821466</v>
      </c>
      <c r="S125" s="107">
        <v>2</v>
      </c>
      <c r="T125" s="30">
        <f t="shared" si="23"/>
        <v>0.0004250797024442083</v>
      </c>
      <c r="U125" s="29">
        <f t="shared" si="24"/>
        <v>4705</v>
      </c>
      <c r="V125" s="29">
        <v>198</v>
      </c>
      <c r="W125" s="38">
        <f t="shared" si="14"/>
        <v>4903</v>
      </c>
      <c r="X125" s="61">
        <f>'Cas anuladas TEEM'!O136</f>
        <v>609</v>
      </c>
      <c r="Y125" s="61">
        <f>SUM('Cas anuladas TEPJF'!O91:O92)</f>
        <v>358</v>
      </c>
      <c r="Z125" s="61">
        <f>SUM('Cas anuladas TEPJF'!O93:O94)</f>
        <v>252</v>
      </c>
      <c r="AB125" s="33">
        <f t="shared" si="25"/>
        <v>1076</v>
      </c>
      <c r="AC125" s="34">
        <f t="shared" si="26"/>
        <v>0.22869287991498405</v>
      </c>
    </row>
    <row r="126" spans="1:29" ht="15">
      <c r="A126" s="35">
        <v>119</v>
      </c>
      <c r="B126" s="110" t="s">
        <v>143</v>
      </c>
      <c r="C126" s="37">
        <v>6785</v>
      </c>
      <c r="D126" s="30">
        <f t="shared" si="15"/>
        <v>0.21715474475916147</v>
      </c>
      <c r="E126" s="29">
        <v>11262</v>
      </c>
      <c r="F126" s="30">
        <f t="shared" si="16"/>
        <v>0.36044167066730676</v>
      </c>
      <c r="G126" s="107">
        <v>2024</v>
      </c>
      <c r="H126" s="30">
        <f t="shared" si="17"/>
        <v>0.06477836453832614</v>
      </c>
      <c r="I126" s="107">
        <v>9768</v>
      </c>
      <c r="J126" s="30">
        <f t="shared" si="18"/>
        <v>0.3126260201632261</v>
      </c>
      <c r="K126" s="107">
        <v>676</v>
      </c>
      <c r="L126" s="30">
        <f t="shared" si="19"/>
        <v>0.021635461673867817</v>
      </c>
      <c r="M126" s="107">
        <v>5</v>
      </c>
      <c r="N126" s="30">
        <f t="shared" si="20"/>
        <v>0.00016002560409665546</v>
      </c>
      <c r="O126" s="107">
        <v>323</v>
      </c>
      <c r="P126" s="30">
        <f t="shared" si="21"/>
        <v>0.010337654024643943</v>
      </c>
      <c r="Q126" s="107">
        <v>400</v>
      </c>
      <c r="R126" s="30">
        <f t="shared" si="22"/>
        <v>0.012802048327732437</v>
      </c>
      <c r="S126" s="107">
        <v>2</v>
      </c>
      <c r="T126" s="30">
        <f t="shared" si="23"/>
        <v>6.401024163866218E-05</v>
      </c>
      <c r="U126" s="29">
        <f t="shared" si="24"/>
        <v>31245</v>
      </c>
      <c r="V126" s="29">
        <v>1126</v>
      </c>
      <c r="W126" s="38">
        <f t="shared" si="14"/>
        <v>32371</v>
      </c>
      <c r="X126" s="61">
        <f>'Cas anuladas TEEM'!O142</f>
        <v>1589</v>
      </c>
      <c r="Y126" s="61">
        <v>0</v>
      </c>
      <c r="Z126" s="61">
        <v>0</v>
      </c>
      <c r="AB126" s="33">
        <f t="shared" si="25"/>
        <v>11262</v>
      </c>
      <c r="AC126" s="34">
        <f t="shared" si="26"/>
        <v>0.36044167066730676</v>
      </c>
    </row>
    <row r="127" spans="1:29" ht="12.75">
      <c r="A127" s="35">
        <v>120</v>
      </c>
      <c r="B127" s="36" t="s">
        <v>109</v>
      </c>
      <c r="C127" s="37">
        <v>1312</v>
      </c>
      <c r="D127" s="30">
        <f t="shared" si="15"/>
        <v>0.2764433206911083</v>
      </c>
      <c r="E127" s="29">
        <v>1932</v>
      </c>
      <c r="F127" s="30">
        <f t="shared" si="16"/>
        <v>0.40707964601769914</v>
      </c>
      <c r="G127" s="107">
        <v>1308</v>
      </c>
      <c r="H127" s="30">
        <f t="shared" si="17"/>
        <v>0.27560050568900124</v>
      </c>
      <c r="I127" s="107">
        <v>36</v>
      </c>
      <c r="J127" s="30">
        <f t="shared" si="18"/>
        <v>0.007585335018963337</v>
      </c>
      <c r="K127" s="107">
        <v>0</v>
      </c>
      <c r="L127" s="30">
        <f t="shared" si="19"/>
        <v>0</v>
      </c>
      <c r="M127" s="107">
        <v>12</v>
      </c>
      <c r="N127" s="30">
        <f t="shared" si="20"/>
        <v>0.0025284450063211127</v>
      </c>
      <c r="O127" s="107">
        <v>146</v>
      </c>
      <c r="P127" s="30">
        <f t="shared" si="21"/>
        <v>0.03076274757690687</v>
      </c>
      <c r="Q127" s="107">
        <v>0</v>
      </c>
      <c r="R127" s="30">
        <f t="shared" si="22"/>
        <v>0</v>
      </c>
      <c r="S127" s="107">
        <v>0</v>
      </c>
      <c r="T127" s="30">
        <f t="shared" si="23"/>
        <v>0</v>
      </c>
      <c r="U127" s="29">
        <f t="shared" si="24"/>
        <v>4746</v>
      </c>
      <c r="V127" s="29">
        <v>253</v>
      </c>
      <c r="W127" s="38">
        <f t="shared" si="14"/>
        <v>4999</v>
      </c>
      <c r="X127" s="61">
        <v>0</v>
      </c>
      <c r="Y127" s="61">
        <v>0</v>
      </c>
      <c r="Z127" s="61">
        <v>0</v>
      </c>
      <c r="AB127" s="33">
        <f t="shared" si="25"/>
        <v>1932</v>
      </c>
      <c r="AC127" s="34">
        <f t="shared" si="26"/>
        <v>0.40707964601769914</v>
      </c>
    </row>
    <row r="128" spans="1:29" ht="12.75">
      <c r="A128" s="35">
        <v>121</v>
      </c>
      <c r="B128" s="36" t="s">
        <v>30</v>
      </c>
      <c r="C128" s="37">
        <v>6051</v>
      </c>
      <c r="D128" s="30">
        <f t="shared" si="15"/>
        <v>0.22689264689339683</v>
      </c>
      <c r="E128" s="29">
        <v>15139</v>
      </c>
      <c r="F128" s="30">
        <f t="shared" si="16"/>
        <v>0.5676628295024185</v>
      </c>
      <c r="G128" s="107">
        <v>4684</v>
      </c>
      <c r="H128" s="30">
        <f t="shared" si="17"/>
        <v>0.17563463196970266</v>
      </c>
      <c r="I128" s="107">
        <v>377</v>
      </c>
      <c r="J128" s="30">
        <f t="shared" si="18"/>
        <v>0.014136263076980763</v>
      </c>
      <c r="K128" s="107">
        <v>0</v>
      </c>
      <c r="L128" s="30">
        <f t="shared" si="19"/>
        <v>0</v>
      </c>
      <c r="M128" s="107">
        <v>0</v>
      </c>
      <c r="N128" s="30">
        <f t="shared" si="20"/>
        <v>0</v>
      </c>
      <c r="O128" s="107">
        <v>163</v>
      </c>
      <c r="P128" s="30">
        <f t="shared" si="21"/>
        <v>0.006111965203044733</v>
      </c>
      <c r="Q128" s="107">
        <v>253</v>
      </c>
      <c r="R128" s="30">
        <f t="shared" si="22"/>
        <v>0.009486669916382317</v>
      </c>
      <c r="S128" s="107">
        <v>2</v>
      </c>
      <c r="T128" s="30">
        <f t="shared" si="23"/>
        <v>7.499343807416851E-05</v>
      </c>
      <c r="U128" s="29">
        <f t="shared" si="24"/>
        <v>26669</v>
      </c>
      <c r="V128" s="29">
        <v>646</v>
      </c>
      <c r="W128" s="38">
        <f t="shared" si="14"/>
        <v>27315</v>
      </c>
      <c r="X128" s="61">
        <v>0</v>
      </c>
      <c r="Y128" s="61">
        <v>0</v>
      </c>
      <c r="Z128" s="61">
        <v>0</v>
      </c>
      <c r="AB128" s="33">
        <f t="shared" si="25"/>
        <v>15139</v>
      </c>
      <c r="AC128" s="34">
        <f t="shared" si="26"/>
        <v>0.5676628295024185</v>
      </c>
    </row>
    <row r="129" spans="1:29" ht="12.75">
      <c r="A129" s="35">
        <v>122</v>
      </c>
      <c r="B129" s="36" t="s">
        <v>110</v>
      </c>
      <c r="C129" s="37">
        <v>8374</v>
      </c>
      <c r="D129" s="30">
        <f t="shared" si="15"/>
        <v>0.11802677942212826</v>
      </c>
      <c r="E129" s="29">
        <v>20276</v>
      </c>
      <c r="F129" s="30">
        <f t="shared" si="16"/>
        <v>0.28577871740662436</v>
      </c>
      <c r="G129" s="107">
        <v>38243</v>
      </c>
      <c r="H129" s="30">
        <f t="shared" si="17"/>
        <v>0.5390133897110642</v>
      </c>
      <c r="I129" s="107">
        <v>1721</v>
      </c>
      <c r="J129" s="30">
        <f t="shared" si="18"/>
        <v>0.024256518675123327</v>
      </c>
      <c r="K129" s="107">
        <v>1454</v>
      </c>
      <c r="L129" s="30">
        <f t="shared" si="19"/>
        <v>0.020493305144467934</v>
      </c>
      <c r="M129" s="107">
        <v>413</v>
      </c>
      <c r="N129" s="30">
        <f t="shared" si="20"/>
        <v>0.005821000704721635</v>
      </c>
      <c r="O129" s="107">
        <v>230</v>
      </c>
      <c r="P129" s="30">
        <f t="shared" si="21"/>
        <v>0.003241719520789288</v>
      </c>
      <c r="Q129" s="107">
        <v>203</v>
      </c>
      <c r="R129" s="30">
        <f t="shared" si="22"/>
        <v>0.002861169837914024</v>
      </c>
      <c r="S129" s="107">
        <v>36</v>
      </c>
      <c r="T129" s="30">
        <f t="shared" si="23"/>
        <v>0.000507399577167019</v>
      </c>
      <c r="U129" s="29">
        <f t="shared" si="24"/>
        <v>70950</v>
      </c>
      <c r="V129" s="29">
        <v>3131</v>
      </c>
      <c r="W129" s="38">
        <f t="shared" si="14"/>
        <v>74081</v>
      </c>
      <c r="X129" s="61">
        <v>0</v>
      </c>
      <c r="Y129" s="61">
        <v>0</v>
      </c>
      <c r="Z129" s="61">
        <v>0</v>
      </c>
      <c r="AB129" s="33">
        <f t="shared" si="25"/>
        <v>38243</v>
      </c>
      <c r="AC129" s="34">
        <f t="shared" si="26"/>
        <v>0.5390133897110642</v>
      </c>
    </row>
    <row r="130" spans="1:29" ht="15">
      <c r="A130" s="35">
        <v>123</v>
      </c>
      <c r="B130" s="110" t="s">
        <v>170</v>
      </c>
      <c r="C130" s="37">
        <v>545</v>
      </c>
      <c r="D130" s="30">
        <f t="shared" si="15"/>
        <v>0.07107459572248305</v>
      </c>
      <c r="E130" s="29">
        <v>3188</v>
      </c>
      <c r="F130" s="30">
        <f t="shared" si="16"/>
        <v>0.4157537819509651</v>
      </c>
      <c r="G130" s="107">
        <v>3607</v>
      </c>
      <c r="H130" s="30">
        <f t="shared" si="17"/>
        <v>0.470396452790819</v>
      </c>
      <c r="I130" s="107">
        <v>110</v>
      </c>
      <c r="J130" s="30">
        <f t="shared" si="18"/>
        <v>0.014345331246739697</v>
      </c>
      <c r="K130" s="107">
        <v>166</v>
      </c>
      <c r="L130" s="30">
        <f t="shared" si="19"/>
        <v>0.021648408972352633</v>
      </c>
      <c r="M130" s="107">
        <v>0</v>
      </c>
      <c r="N130" s="30">
        <f t="shared" si="20"/>
        <v>0</v>
      </c>
      <c r="O130" s="107">
        <v>0</v>
      </c>
      <c r="P130" s="30">
        <f t="shared" si="21"/>
        <v>0</v>
      </c>
      <c r="Q130" s="107">
        <v>49</v>
      </c>
      <c r="R130" s="30">
        <f t="shared" si="22"/>
        <v>0.00639019300991132</v>
      </c>
      <c r="S130" s="107">
        <v>3</v>
      </c>
      <c r="T130" s="30">
        <f t="shared" si="23"/>
        <v>0.0003912363067292645</v>
      </c>
      <c r="U130" s="29">
        <f t="shared" si="24"/>
        <v>7668</v>
      </c>
      <c r="V130" s="29">
        <v>226</v>
      </c>
      <c r="W130" s="38">
        <f t="shared" si="14"/>
        <v>7894</v>
      </c>
      <c r="X130" s="61">
        <f>'Cas anuladas TEEM'!O150</f>
        <v>1069</v>
      </c>
      <c r="Y130" s="61">
        <f>'Cas anuladas TEPJF'!O102</f>
        <v>752</v>
      </c>
      <c r="Z130" s="61">
        <v>0</v>
      </c>
      <c r="AB130" s="33">
        <f t="shared" si="25"/>
        <v>3607</v>
      </c>
      <c r="AC130" s="34">
        <f t="shared" si="26"/>
        <v>0.470396452790819</v>
      </c>
    </row>
    <row r="131" spans="1:29" ht="12.75">
      <c r="A131" s="71">
        <v>124</v>
      </c>
      <c r="B131" s="39" t="s">
        <v>111</v>
      </c>
      <c r="C131" s="40">
        <v>3099</v>
      </c>
      <c r="D131" s="41">
        <f t="shared" si="15"/>
        <v>0.25103280680437423</v>
      </c>
      <c r="E131" s="42">
        <v>5238</v>
      </c>
      <c r="F131" s="41">
        <f t="shared" si="16"/>
        <v>0.42430133657351154</v>
      </c>
      <c r="G131" s="108">
        <v>1226</v>
      </c>
      <c r="H131" s="41">
        <f t="shared" si="17"/>
        <v>0.09931146213041717</v>
      </c>
      <c r="I131" s="108">
        <v>398</v>
      </c>
      <c r="J131" s="41">
        <f t="shared" si="18"/>
        <v>0.032239773187525314</v>
      </c>
      <c r="K131" s="108">
        <v>21</v>
      </c>
      <c r="L131" s="41">
        <f t="shared" si="19"/>
        <v>0.001701093560145808</v>
      </c>
      <c r="M131" s="108">
        <v>1950</v>
      </c>
      <c r="N131" s="41">
        <f t="shared" si="20"/>
        <v>0.15795868772782504</v>
      </c>
      <c r="O131" s="108">
        <v>0</v>
      </c>
      <c r="P131" s="41">
        <f t="shared" si="21"/>
        <v>0</v>
      </c>
      <c r="Q131" s="108">
        <v>409</v>
      </c>
      <c r="R131" s="41">
        <f t="shared" si="22"/>
        <v>0.03313082219522074</v>
      </c>
      <c r="S131" s="108">
        <v>4</v>
      </c>
      <c r="T131" s="41">
        <f t="shared" si="23"/>
        <v>0.00032401782098015393</v>
      </c>
      <c r="U131" s="42">
        <f t="shared" si="24"/>
        <v>12345</v>
      </c>
      <c r="V131" s="42">
        <v>1120</v>
      </c>
      <c r="W131" s="43">
        <f t="shared" si="14"/>
        <v>13465</v>
      </c>
      <c r="X131" s="82">
        <v>0</v>
      </c>
      <c r="Y131" s="82">
        <v>0</v>
      </c>
      <c r="Z131" s="82">
        <v>0</v>
      </c>
      <c r="AB131" s="33">
        <f t="shared" si="25"/>
        <v>5238</v>
      </c>
      <c r="AC131" s="34">
        <f t="shared" si="26"/>
        <v>0.42430133657351154</v>
      </c>
    </row>
    <row r="133" ht="13.5">
      <c r="B133" s="57" t="s">
        <v>119</v>
      </c>
    </row>
    <row r="134" ht="13.5">
      <c r="B134" s="57" t="s">
        <v>124</v>
      </c>
    </row>
    <row r="135" ht="13.5">
      <c r="B135" s="57" t="s">
        <v>127</v>
      </c>
    </row>
    <row r="136" ht="13.5">
      <c r="B136" s="57" t="s">
        <v>126</v>
      </c>
    </row>
    <row r="137" ht="13.5">
      <c r="B137" s="57" t="s">
        <v>131</v>
      </c>
    </row>
    <row r="138" ht="13.5">
      <c r="B138" s="57" t="s">
        <v>137</v>
      </c>
    </row>
    <row r="139" ht="13.5">
      <c r="B139" s="57" t="s">
        <v>146</v>
      </c>
    </row>
    <row r="140" ht="13.5">
      <c r="B140" s="57" t="s">
        <v>144</v>
      </c>
    </row>
    <row r="141" ht="13.5">
      <c r="B141" s="57" t="s">
        <v>145</v>
      </c>
    </row>
    <row r="142" ht="13.5">
      <c r="B142" s="57" t="s">
        <v>150</v>
      </c>
    </row>
    <row r="143" ht="13.5">
      <c r="B143" s="57" t="s">
        <v>200</v>
      </c>
    </row>
    <row r="144" ht="13.5">
      <c r="B144" s="57" t="s">
        <v>151</v>
      </c>
    </row>
    <row r="145" ht="13.5">
      <c r="B145" s="57" t="s">
        <v>152</v>
      </c>
    </row>
    <row r="146" ht="13.5">
      <c r="B146" s="57" t="s">
        <v>153</v>
      </c>
    </row>
    <row r="147" ht="13.5">
      <c r="B147" s="57" t="s">
        <v>161</v>
      </c>
    </row>
    <row r="148" ht="13.5">
      <c r="B148" s="57" t="s">
        <v>216</v>
      </c>
    </row>
    <row r="149" ht="13.5">
      <c r="B149" s="57" t="s">
        <v>154</v>
      </c>
    </row>
    <row r="150" ht="13.5">
      <c r="B150" s="57" t="s">
        <v>155</v>
      </c>
    </row>
    <row r="151" ht="13.5">
      <c r="B151" s="57" t="s">
        <v>201</v>
      </c>
    </row>
    <row r="152" ht="13.5">
      <c r="B152" s="57" t="s">
        <v>156</v>
      </c>
    </row>
    <row r="153" ht="13.5">
      <c r="B153" s="57" t="s">
        <v>214</v>
      </c>
    </row>
    <row r="154" ht="13.5">
      <c r="B154" s="57" t="s">
        <v>207</v>
      </c>
    </row>
    <row r="155" ht="13.5">
      <c r="B155" s="57" t="s">
        <v>215</v>
      </c>
    </row>
    <row r="156" ht="13.5">
      <c r="B156" s="57" t="s">
        <v>172</v>
      </c>
    </row>
    <row r="157" ht="13.5">
      <c r="B157" s="57" t="s">
        <v>175</v>
      </c>
    </row>
    <row r="158" ht="13.5">
      <c r="B158" s="57" t="s">
        <v>176</v>
      </c>
    </row>
    <row r="159" ht="13.5">
      <c r="B159" s="57" t="s">
        <v>178</v>
      </c>
    </row>
    <row r="160" ht="13.5">
      <c r="B160" s="57" t="s">
        <v>184</v>
      </c>
    </row>
    <row r="161" ht="13.5">
      <c r="B161" s="57" t="s">
        <v>193</v>
      </c>
    </row>
    <row r="162" ht="13.5">
      <c r="B162" s="57" t="s">
        <v>206</v>
      </c>
    </row>
    <row r="163" ht="13.5">
      <c r="B163" s="57" t="s">
        <v>219</v>
      </c>
    </row>
  </sheetData>
  <mergeCells count="1">
    <mergeCell ref="A7:B7"/>
  </mergeCells>
  <conditionalFormatting sqref="C8:C131">
    <cfRule type="cellIs" priority="1" dxfId="0" operator="equal" stopIfTrue="1">
      <formula>$AB8</formula>
    </cfRule>
  </conditionalFormatting>
  <conditionalFormatting sqref="D8:D131">
    <cfRule type="cellIs" priority="2" dxfId="0" operator="equal" stopIfTrue="1">
      <formula>$AC8</formula>
    </cfRule>
  </conditionalFormatting>
  <conditionalFormatting sqref="G8">
    <cfRule type="cellIs" priority="3" dxfId="1" operator="equal" stopIfTrue="1">
      <formula>$AB8</formula>
    </cfRule>
  </conditionalFormatting>
  <conditionalFormatting sqref="H8:H131">
    <cfRule type="cellIs" priority="4" dxfId="1" operator="equal" stopIfTrue="1">
      <formula>$AC8</formula>
    </cfRule>
  </conditionalFormatting>
  <conditionalFormatting sqref="E8:E17 E19:E131">
    <cfRule type="cellIs" priority="5" dxfId="2" operator="equal" stopIfTrue="1">
      <formula>$AB8</formula>
    </cfRule>
  </conditionalFormatting>
  <conditionalFormatting sqref="F8:F131">
    <cfRule type="cellIs" priority="6" dxfId="2" operator="equal" stopIfTrue="1">
      <formula>$AC8</formula>
    </cfRule>
  </conditionalFormatting>
  <conditionalFormatting sqref="G9:G130">
    <cfRule type="cellIs" priority="7" dxfId="7" operator="equal" stopIfTrue="1">
      <formula>$AB9</formula>
    </cfRule>
  </conditionalFormatting>
  <conditionalFormatting sqref="J85:J131">
    <cfRule type="cellIs" priority="8" dxfId="3" operator="equal" stopIfTrue="1">
      <formula>$AC$85</formula>
    </cfRule>
  </conditionalFormatting>
  <conditionalFormatting sqref="I8:I131">
    <cfRule type="cellIs" priority="9" dxfId="3" operator="equal" stopIfTrue="1">
      <formula>$AB8</formula>
    </cfRule>
  </conditionalFormatting>
  <conditionalFormatting sqref="J8:J38">
    <cfRule type="cellIs" priority="10" dxfId="3" operator="equal" stopIfTrue="1">
      <formula>$AC8</formula>
    </cfRule>
  </conditionalFormatting>
  <conditionalFormatting sqref="K8:K17 K19:K131">
    <cfRule type="cellIs" priority="11" dxfId="8" operator="equal" stopIfTrue="1">
      <formula>$AB8</formula>
    </cfRule>
  </conditionalFormatting>
  <conditionalFormatting sqref="L8:L17 L19:L131">
    <cfRule type="cellIs" priority="12" dxfId="8" operator="equal" stopIfTrue="1">
      <formula>$AC8</formula>
    </cfRule>
  </conditionalFormatting>
  <conditionalFormatting sqref="O77:O131 O8:O75 M8:M17 M19:M32 M34:M102 M104:M131">
    <cfRule type="cellIs" priority="13" dxfId="5" operator="equal" stopIfTrue="1">
      <formula>$AB8</formula>
    </cfRule>
  </conditionalFormatting>
  <conditionalFormatting sqref="P77:P131 P8:P75 N8:N17 N19:N32 N34:N102 N104:N131">
    <cfRule type="cellIs" priority="14" dxfId="5" operator="equal" stopIfTrue="1">
      <formula>$AC8</formula>
    </cfRule>
  </conditionalFormatting>
  <conditionalFormatting sqref="O76">
    <cfRule type="cellIs" priority="15" dxfId="6" operator="equal" stopIfTrue="1">
      <formula>$AB76</formula>
    </cfRule>
  </conditionalFormatting>
  <conditionalFormatting sqref="P76">
    <cfRule type="cellIs" priority="16" dxfId="6" operator="equal" stopIfTrue="1">
      <formula>$AC76</formula>
    </cfRule>
  </conditionalFormatting>
  <printOptions/>
  <pageMargins left="0.7874015748031497" right="0.3937007874015748" top="0.58" bottom="0.67" header="0.3937007874015748" footer="0.32"/>
  <pageSetup fitToHeight="0" fitToWidth="1" horizontalDpi="600" verticalDpi="600" orientation="landscape" paperSize="5" scale="67" r:id="rId2"/>
  <headerFooter alignWithMargins="0">
    <oddHeader>&amp;C&amp;9ANEXO 2</oddHeader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UIE</dc:creator>
  <cp:keywords/>
  <dc:description/>
  <cp:lastModifiedBy>uie</cp:lastModifiedBy>
  <cp:lastPrinted>2004-09-23T19:42:12Z</cp:lastPrinted>
  <dcterms:created xsi:type="dcterms:W3CDTF">2003-03-21T17:59:59Z</dcterms:created>
  <dcterms:modified xsi:type="dcterms:W3CDTF">2006-02-14T03:01:02Z</dcterms:modified>
  <cp:category/>
  <cp:version/>
  <cp:contentType/>
  <cp:contentStatus/>
</cp:coreProperties>
</file>